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0" documentId="8_{63B5782C-D9BF-424D-A683-ECED0F30F619}" xr6:coauthVersionLast="47" xr6:coauthVersionMax="47" xr10:uidLastSave="{00000000-0000-0000-0000-000000000000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4" r:id="rId53"/>
    <sheet name="308" sheetId="27" r:id="rId54"/>
    <sheet name="311" sheetId="66" r:id="rId55"/>
    <sheet name="324" sheetId="75" r:id="rId56"/>
    <sheet name="331" sheetId="30" r:id="rId57"/>
    <sheet name="315" sheetId="69" r:id="rId58"/>
    <sheet name="326" sheetId="77" r:id="rId59"/>
    <sheet name="332" sheetId="33" r:id="rId60"/>
    <sheet name="316" sheetId="70" r:id="rId61"/>
    <sheet name="Div 6" sheetId="51" r:id="rId62"/>
    <sheet name="317" sheetId="71" r:id="rId63"/>
    <sheet name="310" sheetId="21" r:id="rId64"/>
    <sheet name="309" sheetId="65" r:id="rId65"/>
    <sheet name="313" sheetId="67" r:id="rId66"/>
    <sheet name="321" sheetId="73" r:id="rId67"/>
    <sheet name="322" sheetId="74" r:id="rId68"/>
    <sheet name="325" sheetId="76" r:id="rId69"/>
    <sheet name="327" sheetId="78" r:id="rId70"/>
    <sheet name="Div 4" sheetId="36" r:id="rId71"/>
    <sheet name="310 &amp; 491" sheetId="39" r:id="rId72"/>
    <sheet name="491" sheetId="42" r:id="rId73"/>
    <sheet name="405" sheetId="79" r:id="rId74"/>
    <sheet name="406" sheetId="80" r:id="rId75"/>
    <sheet name="411" sheetId="81" r:id="rId76"/>
    <sheet name="412" sheetId="82" r:id="rId77"/>
    <sheet name="413" sheetId="83" r:id="rId78"/>
    <sheet name="414" sheetId="84" r:id="rId79"/>
    <sheet name="415" sheetId="85" r:id="rId80"/>
    <sheet name="418" sheetId="86" r:id="rId81"/>
    <sheet name="420" sheetId="87" r:id="rId82"/>
    <sheet name="423" sheetId="88" r:id="rId83"/>
    <sheet name="424" sheetId="89" r:id="rId84"/>
    <sheet name="425" sheetId="90" r:id="rId85"/>
    <sheet name="455" sheetId="96" r:id="rId86"/>
    <sheet name="492" sheetId="45" r:id="rId87"/>
    <sheet name="430" sheetId="91" r:id="rId88"/>
    <sheet name="433" sheetId="92" r:id="rId89"/>
    <sheet name="435" sheetId="93" r:id="rId90"/>
    <sheet name="444" sheetId="94" r:id="rId91"/>
    <sheet name="450" sheetId="95" r:id="rId92"/>
    <sheet name="Div 5" sheetId="48" r:id="rId93"/>
    <sheet name="501" sheetId="97" r:id="rId94"/>
    <sheet name="Dept" sheetId="98" state="hidden" r:id="rId95"/>
    <sheet name="OSR_Dept_Y0WUKY" sheetId="99" state="hidden" r:id="rId96"/>
    <sheet name="OSR_Summary (...56e5d78f_5JEYZH" sheetId="100" state="hidden" r:id="rId97"/>
  </sheets>
  <definedNames>
    <definedName name="OSRRefD13x_0" localSheetId="48">'300'!$D$13:$D$76</definedName>
    <definedName name="OSRRefD13x_0" localSheetId="49">'300 &amp; 317'!$D$13:$D$90</definedName>
    <definedName name="OSRRefD13x_0" localSheetId="52">'307'!$D$13:$D$25</definedName>
    <definedName name="OSRRefD13x_0" localSheetId="53">'308'!$D$13:$D$36</definedName>
    <definedName name="OSRRefD13x_0" localSheetId="63">'310'!$D$13:$D$21</definedName>
    <definedName name="OSRRefD13x_0" localSheetId="71">'310 &amp; 491'!$D$13:$D$25</definedName>
    <definedName name="OSRRefD13x_0" localSheetId="54">'311'!$D$13:$D$36</definedName>
    <definedName name="OSRRefD13x_0" localSheetId="65">'313'!$D$13:$D$16</definedName>
    <definedName name="OSRRefD13x_0" localSheetId="57">'315'!$D$13:$D$52</definedName>
    <definedName name="OSRRefD13x_0" localSheetId="60">'316'!$D$13:$D$23</definedName>
    <definedName name="OSRRefD13x_0" localSheetId="62">'317'!$D$13:$D$33</definedName>
    <definedName name="OSRRefD13x_0" localSheetId="66">'321'!$D$13:$D$14</definedName>
    <definedName name="OSRRefD13x_0" localSheetId="55">'324'!$D$13:$D$16</definedName>
    <definedName name="OSRRefD13x_0" localSheetId="68">'325'!$D$13:$D$14</definedName>
    <definedName name="OSRRefD13x_0" localSheetId="58">'326'!$D$13:$D$34</definedName>
    <definedName name="OSRRefD13x_0" localSheetId="69">'327'!$D$13:$D$14</definedName>
    <definedName name="OSRRefD13x_0" localSheetId="51">'330'!$D$13:$D$28</definedName>
    <definedName name="OSRRefD13x_0" localSheetId="56">'331'!$D$13:$D$52</definedName>
    <definedName name="OSRRefD13x_0" localSheetId="59">'332'!$D$13:$D$23</definedName>
    <definedName name="OSRRefD13x_0" localSheetId="73">'405'!$D$13:$D$14</definedName>
    <definedName name="OSRRefD13x_0" localSheetId="78">'414'!$D$13</definedName>
    <definedName name="OSRRefD13x_0" localSheetId="79">'415'!$D$13:$D$14</definedName>
    <definedName name="OSRRefD13x_0" localSheetId="81">'420'!$D$13</definedName>
    <definedName name="OSRRefD13x_0" localSheetId="84">'425'!$D$13</definedName>
    <definedName name="OSRRefD13x_0" localSheetId="88">'433'!$D$13:$D$15</definedName>
    <definedName name="OSRRefD13x_0" localSheetId="90">'444'!$D$13:$D$15</definedName>
    <definedName name="OSRRefD13x_0" localSheetId="91">'450'!$D$13:$D$15</definedName>
    <definedName name="OSRRefD13x_0" localSheetId="72">'491'!$D$13:$D$17</definedName>
    <definedName name="OSRRefD13x_0" localSheetId="86">'492'!$D$13:$D$15</definedName>
    <definedName name="OSRRefD13x_0" localSheetId="93">'501'!$D$13</definedName>
    <definedName name="OSRRefD13x_0" localSheetId="47">'Div 3'!$D$13:$D$79</definedName>
    <definedName name="OSRRefD13x_0" localSheetId="70">'Div 4'!$D$13:$D$18</definedName>
    <definedName name="OSRRefD13x_0" localSheetId="92">'Div 5'!$D$13</definedName>
    <definedName name="OSRRefD13x_0" localSheetId="61">'Div 6'!$D$13:$D$33</definedName>
    <definedName name="OSRRefD13x_0" localSheetId="2">Summary!$D$13:$D$97</definedName>
    <definedName name="OSRRefD16x_0" localSheetId="48">'300'!$D$79:$D$115</definedName>
    <definedName name="OSRRefD16x_0" localSheetId="49">'300 &amp; 317'!$D$93:$D$137</definedName>
    <definedName name="OSRRefD16x_0" localSheetId="50">'301'!$D$15</definedName>
    <definedName name="OSRRefD16x_0" localSheetId="52">'307'!$D$28:$D$37</definedName>
    <definedName name="OSRRefD16x_0" localSheetId="53">'308'!$D$39:$D$53</definedName>
    <definedName name="OSRRefD16x_0" localSheetId="63">'310'!$D$24:$D$25</definedName>
    <definedName name="OSRRefD16x_0" localSheetId="71">'310 &amp; 491'!$D$28:$D$29</definedName>
    <definedName name="OSRRefD16x_0" localSheetId="54">'311'!$D$39:$D$53</definedName>
    <definedName name="OSRRefD16x_0" localSheetId="65">'313'!$D$19</definedName>
    <definedName name="OSRRefD16x_0" localSheetId="57">'315'!$D$55:$D$78</definedName>
    <definedName name="OSRRefD16x_0" localSheetId="62">'317'!$D$36:$D$47</definedName>
    <definedName name="OSRRefD16x_0" localSheetId="66">'321'!$D$17</definedName>
    <definedName name="OSRRefD16x_0" localSheetId="67">'322'!$D$15</definedName>
    <definedName name="OSRRefD16x_0" localSheetId="55">'324'!$D$19:$D$21</definedName>
    <definedName name="OSRRefD16x_0" localSheetId="68">'325'!$D$17:$D$18</definedName>
    <definedName name="OSRRefD16x_0" localSheetId="58">'326'!$D$37:$D$43</definedName>
    <definedName name="OSRRefD16x_0" localSheetId="69">'327'!$D$17:$D$18</definedName>
    <definedName name="OSRRefD16x_0" localSheetId="51">'330'!$D$31:$D$40</definedName>
    <definedName name="OSRRefD16x_0" localSheetId="56">'331'!$D$55:$D$78</definedName>
    <definedName name="OSRRefD16x_0" localSheetId="59">'332'!$D$26:$D$27</definedName>
    <definedName name="OSRRefD16x_0" localSheetId="73">'405'!$D$17:$D$18</definedName>
    <definedName name="OSRRefD16x_0" localSheetId="79">'415'!$D$17:$D$18</definedName>
    <definedName name="OSRRefD16x_0" localSheetId="80">'418'!$D$15</definedName>
    <definedName name="OSRRefD16x_0" localSheetId="84">'425'!$D$16</definedName>
    <definedName name="OSRRefD16x_0" localSheetId="88">'433'!$D$18:$D$19</definedName>
    <definedName name="OSRRefD16x_0" localSheetId="90">'444'!$D$18:$D$19</definedName>
    <definedName name="OSRRefD16x_0" localSheetId="91">'450'!$D$18:$D$19</definedName>
    <definedName name="OSRRefD16x_0" localSheetId="72">'491'!$D$20:$D$21</definedName>
    <definedName name="OSRRefD16x_0" localSheetId="86">'492'!$D$18:$D$19</definedName>
    <definedName name="OSRRefD16x_0" localSheetId="47">'Div 3'!$D$82:$D$120</definedName>
    <definedName name="OSRRefD16x_0" localSheetId="70">'Div 4'!$D$21:$D$22</definedName>
    <definedName name="OSRRefD16x_0" localSheetId="61">'Div 6'!$D$36:$D$47</definedName>
    <definedName name="OSRRefD16x_0" localSheetId="2">Summary!$D$100:$D$146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'300'!$D$121:$D$130</definedName>
    <definedName name="OSRRefD22_0x_0" localSheetId="49">'300 &amp; 317'!$D$143:$D$152</definedName>
    <definedName name="OSRRefD22_0x_0" localSheetId="50">'301'!$D$21:$D$30</definedName>
    <definedName name="OSRRefD22_0x_0" localSheetId="52">'307'!$D$43:$D$45</definedName>
    <definedName name="OSRRefD22_0x_0" localSheetId="53">'308'!$D$59:$D$67</definedName>
    <definedName name="OSRRefD22_0x_0" localSheetId="64">'309'!$D$20</definedName>
    <definedName name="OSRRefD22_0x_0" localSheetId="63">'310'!$D$31:$D$38</definedName>
    <definedName name="OSRRefD22_0x_0" localSheetId="71">'310 &amp; 491'!$D$35:$D$42</definedName>
    <definedName name="OSRRefD22_0x_0" localSheetId="54">'311'!$D$59:$D$67</definedName>
    <definedName name="OSRRefD22_0x_0" localSheetId="65">'313'!$D$25:$D$32</definedName>
    <definedName name="OSRRefD22_0x_0" localSheetId="57">'315'!$D$84:$D$91</definedName>
    <definedName name="OSRRefD22_0x_0" localSheetId="60">'316'!$D$31:$D$38</definedName>
    <definedName name="OSRRefD22_0x_0" localSheetId="62">'317'!$D$53:$D$61</definedName>
    <definedName name="OSRRefD22_0x_0" localSheetId="66">'321'!$D$23:$D$30</definedName>
    <definedName name="OSRRefD22_0x_0" localSheetId="67">'322'!$D$21:$D$25</definedName>
    <definedName name="OSRRefD22_0x_0" localSheetId="68">'325'!$D$24:$D$31</definedName>
    <definedName name="OSRRefD22_0x_0" localSheetId="58">'326'!$D$49:$D$56</definedName>
    <definedName name="OSRRefD22_0x_0" localSheetId="69">'327'!$D$24</definedName>
    <definedName name="OSRRefD22_0x_0" localSheetId="51">'330'!$D$46:$D$49</definedName>
    <definedName name="OSRRefD22_0x_0" localSheetId="56">'331'!$D$84:$D$91</definedName>
    <definedName name="OSRRefD22_0x_0" localSheetId="59">'332'!$D$33:$D$40</definedName>
    <definedName name="OSRRefD22_0x_0" localSheetId="73">'405'!$D$24:$D$31</definedName>
    <definedName name="OSRRefD22_0x_0" localSheetId="74">'406'!$D$20</definedName>
    <definedName name="OSRRefD22_0x_0" localSheetId="75">'411'!$D$20:$D$27</definedName>
    <definedName name="OSRRefD22_0x_0" localSheetId="76">'412'!$D$20</definedName>
    <definedName name="OSRRefD22_0x_0" localSheetId="77">'413'!$D$20:$D$24</definedName>
    <definedName name="OSRRefD22_0x_0" localSheetId="78">'414'!$D$21</definedName>
    <definedName name="OSRRefD22_0x_0" localSheetId="79">'415'!$D$24:$D$31</definedName>
    <definedName name="OSRRefD22_0x_0" localSheetId="80">'418'!$D$21:$D$28</definedName>
    <definedName name="OSRRefD22_0x_0" localSheetId="82">'423'!$D$20:$D$21</definedName>
    <definedName name="OSRRefD22_0x_0" localSheetId="83">'424'!$D$20</definedName>
    <definedName name="OSRRefD22_0x_0" localSheetId="84">'425'!$D$22:$D$26</definedName>
    <definedName name="OSRRefD22_0x_0" localSheetId="87">'430'!$D$20:$D$27</definedName>
    <definedName name="OSRRefD22_0x_0" localSheetId="88">'433'!$D$25:$D$33</definedName>
    <definedName name="OSRRefD22_0x_0" localSheetId="89">'435'!$D$20</definedName>
    <definedName name="OSRRefD22_0x_0" localSheetId="90">'444'!$D$25:$D$33</definedName>
    <definedName name="OSRRefD22_0x_0" localSheetId="91">'450'!$D$25:$D$33</definedName>
    <definedName name="OSRRefD22_0x_0" localSheetId="72">'491'!$D$27:$D$34</definedName>
    <definedName name="OSRRefD22_0x_0" localSheetId="86">'492'!$D$25:$D$33</definedName>
    <definedName name="OSRRefD22_0x_0" localSheetId="93">'501'!$D$21:$D$29</definedName>
    <definedName name="OSRRefD22_0x_0" localSheetId="39">'Div 2'!$D$20:$D$29</definedName>
    <definedName name="OSRRefD22_0x_0" localSheetId="47">'Div 3'!$D$126:$D$135</definedName>
    <definedName name="OSRRefD22_0x_0" localSheetId="70">'Div 4'!$D$28:$D$36</definedName>
    <definedName name="OSRRefD22_0x_0" localSheetId="92">'Div 5'!$D$21:$D$29</definedName>
    <definedName name="OSRRefD22_0x_0" localSheetId="61">'Div 6'!$D$53:$D$61</definedName>
    <definedName name="OSRRefD22_0x_0" localSheetId="2">Summary!$D$152:$D$161</definedName>
    <definedName name="OSRRefD22_10x_0" localSheetId="41">'201'!$D$51</definedName>
    <definedName name="OSRRefD22_10x_0" localSheetId="42">'202'!$D$53</definedName>
    <definedName name="OSRRefD22_10x_0" localSheetId="43">'203'!$D$53:$D$56</definedName>
    <definedName name="OSRRefD22_10x_0" localSheetId="48">'300'!$D$158:$D$159</definedName>
    <definedName name="OSRRefD22_10x_0" localSheetId="49">'300 &amp; 317'!$D$180:$D$181</definedName>
    <definedName name="OSRRefD22_10x_0" localSheetId="50">'301'!$D$57</definedName>
    <definedName name="OSRRefD22_10x_0" localSheetId="52">'307'!$D$70:$D$73</definedName>
    <definedName name="OSRRefD22_10x_0" localSheetId="53">'308'!$D$95</definedName>
    <definedName name="OSRRefD22_10x_0" localSheetId="63">'310'!$D$61:$D$62</definedName>
    <definedName name="OSRRefD22_10x_0" localSheetId="71">'310 &amp; 491'!$D$68</definedName>
    <definedName name="OSRRefD22_10x_0" localSheetId="54">'311'!$D$95</definedName>
    <definedName name="OSRRefD22_10x_0" localSheetId="57">'315'!$D$120</definedName>
    <definedName name="OSRRefD22_10x_0" localSheetId="60">'316'!$D$63:$D$67</definedName>
    <definedName name="OSRRefD22_10x_0" localSheetId="62">'317'!$D$88</definedName>
    <definedName name="OSRRefD22_10x_0" localSheetId="66">'321'!$D$58</definedName>
    <definedName name="OSRRefD22_10x_0" localSheetId="68">'325'!$D$55:$D$57</definedName>
    <definedName name="OSRRefD22_10x_0" localSheetId="58">'326'!$D$80:$D$82</definedName>
    <definedName name="OSRRefD22_10x_0" localSheetId="51">'330'!$D$75:$D$78</definedName>
    <definedName name="OSRRefD22_10x_0" localSheetId="56">'331'!$D$118</definedName>
    <definedName name="OSRRefD22_10x_0" localSheetId="59">'332'!$D$65:$D$69</definedName>
    <definedName name="OSRRefD22_10x_0" localSheetId="73">'405'!$D$55:$D$56</definedName>
    <definedName name="OSRRefD22_10x_0" localSheetId="75">'411'!$D$54:$D$56</definedName>
    <definedName name="OSRRefD22_10x_0" localSheetId="79">'415'!$D$55:$D$56</definedName>
    <definedName name="OSRRefD22_10x_0" localSheetId="80">'418'!$D$53</definedName>
    <definedName name="OSRRefD22_10x_0" localSheetId="88">'433'!$D$57:$D$58</definedName>
    <definedName name="OSRRefD22_10x_0" localSheetId="90">'444'!$D$57:$D$58</definedName>
    <definedName name="OSRRefD22_10x_0" localSheetId="91">'450'!$D$57</definedName>
    <definedName name="OSRRefD22_10x_0" localSheetId="72">'491'!$D$59</definedName>
    <definedName name="OSRRefD22_10x_0" localSheetId="86">'492'!$D$58</definedName>
    <definedName name="OSRRefD22_10x_0" localSheetId="93">'501'!$D$57</definedName>
    <definedName name="OSRRefD22_10x_0" localSheetId="39">'Div 2'!$D$55</definedName>
    <definedName name="OSRRefD22_10x_0" localSheetId="47">'Div 3'!$D$163:$D$164</definedName>
    <definedName name="OSRRefD22_10x_0" localSheetId="70">'Div 4'!$D$62</definedName>
    <definedName name="OSRRefD22_10x_0" localSheetId="92">'Div 5'!$D$57</definedName>
    <definedName name="OSRRefD22_10x_0" localSheetId="61">'Div 6'!$D$88</definedName>
    <definedName name="OSRRefD22_10x_0" localSheetId="2">Summary!$D$189:$D$190</definedName>
    <definedName name="OSRRefD22_11x_0" localSheetId="41">'201'!$D$53:$D$54</definedName>
    <definedName name="OSRRefD22_11x_0" localSheetId="42">'202'!$D$55</definedName>
    <definedName name="OSRRefD22_11x_0" localSheetId="43">'203'!$D$58</definedName>
    <definedName name="OSRRefD22_11x_0" localSheetId="48">'300'!$D$161</definedName>
    <definedName name="OSRRefD22_11x_0" localSheetId="49">'300 &amp; 317'!$D$183</definedName>
    <definedName name="OSRRefD22_11x_0" localSheetId="50">'301'!$D$59</definedName>
    <definedName name="OSRRefD22_11x_0" localSheetId="52">'307'!$D$75</definedName>
    <definedName name="OSRRefD22_11x_0" localSheetId="53">'308'!$D$97:$D$98</definedName>
    <definedName name="OSRRefD22_11x_0" localSheetId="63">'310'!$D$64</definedName>
    <definedName name="OSRRefD22_11x_0" localSheetId="71">'310 &amp; 491'!$D$70</definedName>
    <definedName name="OSRRefD22_11x_0" localSheetId="54">'311'!$D$97:$D$98</definedName>
    <definedName name="OSRRefD22_11x_0" localSheetId="57">'315'!$D$122:$D$124</definedName>
    <definedName name="OSRRefD22_11x_0" localSheetId="60">'316'!$D$69</definedName>
    <definedName name="OSRRefD22_11x_0" localSheetId="66">'321'!$D$60</definedName>
    <definedName name="OSRRefD22_11x_0" localSheetId="68">'325'!$D$59:$D$62</definedName>
    <definedName name="OSRRefD22_11x_0" localSheetId="58">'326'!$D$84:$D$85</definedName>
    <definedName name="OSRRefD22_11x_0" localSheetId="51">'330'!$D$80</definedName>
    <definedName name="OSRRefD22_11x_0" localSheetId="56">'331'!$D$120</definedName>
    <definedName name="OSRRefD22_11x_0" localSheetId="59">'332'!$D$71</definedName>
    <definedName name="OSRRefD22_11x_0" localSheetId="73">'405'!$D$58:$D$61</definedName>
    <definedName name="OSRRefD22_11x_0" localSheetId="75">'411'!$D$58:$D$59</definedName>
    <definedName name="OSRRefD22_11x_0" localSheetId="79">'415'!$D$58:$D$61</definedName>
    <definedName name="OSRRefD22_11x_0" localSheetId="80">'418'!$D$55:$D$59</definedName>
    <definedName name="OSRRefD22_11x_0" localSheetId="88">'433'!$D$60:$D$62</definedName>
    <definedName name="OSRRefD22_11x_0" localSheetId="90">'444'!$D$60:$D$62</definedName>
    <definedName name="OSRRefD22_11x_0" localSheetId="91">'450'!$D$59</definedName>
    <definedName name="OSRRefD22_11x_0" localSheetId="72">'491'!$D$61</definedName>
    <definedName name="OSRRefD22_11x_0" localSheetId="86">'492'!$D$60</definedName>
    <definedName name="OSRRefD22_11x_0" localSheetId="39">'Div 2'!$D$57</definedName>
    <definedName name="OSRRefD22_11x_0" localSheetId="47">'Div 3'!$D$166</definedName>
    <definedName name="OSRRefD22_11x_0" localSheetId="70">'Div 4'!$D$64</definedName>
    <definedName name="OSRRefD22_11x_0" localSheetId="2">Summary!$D$192</definedName>
    <definedName name="OSRRefD22_12x_0" localSheetId="41">'201'!$D$56</definedName>
    <definedName name="OSRRefD22_12x_0" localSheetId="43">'203'!$D$60</definedName>
    <definedName name="OSRRefD22_12x_0" localSheetId="48">'300'!$D$163</definedName>
    <definedName name="OSRRefD22_12x_0" localSheetId="49">'300 &amp; 317'!$D$185</definedName>
    <definedName name="OSRRefD22_12x_0" localSheetId="50">'301'!$D$61</definedName>
    <definedName name="OSRRefD22_12x_0" localSheetId="52">'307'!$D$77</definedName>
    <definedName name="OSRRefD22_12x_0" localSheetId="53">'308'!$D$100:$D$101</definedName>
    <definedName name="OSRRefD22_12x_0" localSheetId="63">'310'!$D$66:$D$68</definedName>
    <definedName name="OSRRefD22_12x_0" localSheetId="71">'310 &amp; 491'!$D$72</definedName>
    <definedName name="OSRRefD22_12x_0" localSheetId="54">'311'!$D$100:$D$101</definedName>
    <definedName name="OSRRefD22_12x_0" localSheetId="57">'315'!$D$126</definedName>
    <definedName name="OSRRefD22_12x_0" localSheetId="60">'316'!$D$71</definedName>
    <definedName name="OSRRefD22_12x_0" localSheetId="68">'325'!$D$64</definedName>
    <definedName name="OSRRefD22_12x_0" localSheetId="58">'326'!$D$87</definedName>
    <definedName name="OSRRefD22_12x_0" localSheetId="51">'330'!$D$82</definedName>
    <definedName name="OSRRefD22_12x_0" localSheetId="56">'331'!$D$122:$D$124</definedName>
    <definedName name="OSRRefD22_12x_0" localSheetId="59">'332'!$D$73</definedName>
    <definedName name="OSRRefD22_12x_0" localSheetId="73">'405'!$D$63</definedName>
    <definedName name="OSRRefD22_12x_0" localSheetId="75">'411'!$D$61</definedName>
    <definedName name="OSRRefD22_12x_0" localSheetId="79">'415'!$D$63</definedName>
    <definedName name="OSRRefD22_12x_0" localSheetId="80">'418'!$D$61</definedName>
    <definedName name="OSRRefD22_12x_0" localSheetId="88">'433'!$D$64:$D$71</definedName>
    <definedName name="OSRRefD22_12x_0" localSheetId="90">'444'!$D$64:$D$70</definedName>
    <definedName name="OSRRefD22_12x_0" localSheetId="91">'450'!$D$61:$D$62</definedName>
    <definedName name="OSRRefD22_12x_0" localSheetId="72">'491'!$D$63</definedName>
    <definedName name="OSRRefD22_12x_0" localSheetId="86">'492'!$D$62:$D$64</definedName>
    <definedName name="OSRRefD22_12x_0" localSheetId="39">'Div 2'!$D$59:$D$61</definedName>
    <definedName name="OSRRefD22_12x_0" localSheetId="47">'Div 3'!$D$168</definedName>
    <definedName name="OSRRefD22_12x_0" localSheetId="70">'Div 4'!$D$66</definedName>
    <definedName name="OSRRefD22_12x_0" localSheetId="2">Summary!$D$194</definedName>
    <definedName name="OSRRefD22_13x_0" localSheetId="48">'300'!$D$165:$D$166</definedName>
    <definedName name="OSRRefD22_13x_0" localSheetId="49">'300 &amp; 317'!$D$187:$D$188</definedName>
    <definedName name="OSRRefD22_13x_0" localSheetId="50">'301'!$D$63</definedName>
    <definedName name="OSRRefD22_13x_0" localSheetId="53">'308'!$D$103</definedName>
    <definedName name="OSRRefD22_13x_0" localSheetId="63">'310'!$D$70:$D$74</definedName>
    <definedName name="OSRRefD22_13x_0" localSheetId="71">'310 &amp; 491'!$D$74:$D$76</definedName>
    <definedName name="OSRRefD22_13x_0" localSheetId="54">'311'!$D$103</definedName>
    <definedName name="OSRRefD22_13x_0" localSheetId="57">'315'!$D$128</definedName>
    <definedName name="OSRRefD22_13x_0" localSheetId="68">'325'!$D$66</definedName>
    <definedName name="OSRRefD22_13x_0" localSheetId="58">'326'!$D$89:$D$92</definedName>
    <definedName name="OSRRefD22_13x_0" localSheetId="56">'331'!$D$126:$D$127</definedName>
    <definedName name="OSRRefD22_13x_0" localSheetId="73">'405'!$D$65:$D$71</definedName>
    <definedName name="OSRRefD22_13x_0" localSheetId="75">'411'!$D$63</definedName>
    <definedName name="OSRRefD22_13x_0" localSheetId="79">'415'!$D$65:$D$70</definedName>
    <definedName name="OSRRefD22_13x_0" localSheetId="88">'433'!$D$73</definedName>
    <definedName name="OSRRefD22_13x_0" localSheetId="90">'444'!$D$72</definedName>
    <definedName name="OSRRefD22_13x_0" localSheetId="91">'450'!$D$64:$D$66</definedName>
    <definedName name="OSRRefD22_13x_0" localSheetId="72">'491'!$D$65:$D$67</definedName>
    <definedName name="OSRRefD22_13x_0" localSheetId="86">'492'!$D$66:$D$68</definedName>
    <definedName name="OSRRefD22_13x_0" localSheetId="39">'Div 2'!$D$63:$D$66</definedName>
    <definedName name="OSRRefD22_13x_0" localSheetId="47">'Div 3'!$D$170</definedName>
    <definedName name="OSRRefD22_13x_0" localSheetId="70">'Div 4'!$D$68</definedName>
    <definedName name="OSRRefD22_13x_0" localSheetId="2">Summary!$D$196</definedName>
    <definedName name="OSRRefD22_14x_0" localSheetId="48">'300'!$D$168</definedName>
    <definedName name="OSRRefD22_14x_0" localSheetId="49">'300 &amp; 317'!$D$190</definedName>
    <definedName name="OSRRefD22_14x_0" localSheetId="50">'301'!$D$65</definedName>
    <definedName name="OSRRefD22_14x_0" localSheetId="63">'310'!$D$76</definedName>
    <definedName name="OSRRefD22_14x_0" localSheetId="71">'310 &amp; 491'!$D$78</definedName>
    <definedName name="OSRRefD22_14x_0" localSheetId="58">'326'!$D$94</definedName>
    <definedName name="OSRRefD22_14x_0" localSheetId="56">'331'!$D$129:$D$130</definedName>
    <definedName name="OSRRefD22_14x_0" localSheetId="73">'405'!$D$73</definedName>
    <definedName name="OSRRefD22_14x_0" localSheetId="75">'411'!$D$65</definedName>
    <definedName name="OSRRefD22_14x_0" localSheetId="79">'415'!$D$72</definedName>
    <definedName name="OSRRefD22_14x_0" localSheetId="90">'444'!$D$74</definedName>
    <definedName name="OSRRefD22_14x_0" localSheetId="91">'450'!$D$68:$D$73</definedName>
    <definedName name="OSRRefD22_14x_0" localSheetId="72">'491'!$D$69</definedName>
    <definedName name="OSRRefD22_14x_0" localSheetId="86">'492'!$D$70:$D$77</definedName>
    <definedName name="OSRRefD22_14x_0" localSheetId="39">'Div 2'!$D$68</definedName>
    <definedName name="OSRRefD22_14x_0" localSheetId="47">'Div 3'!$D$172:$D$173</definedName>
    <definedName name="OSRRefD22_14x_0" localSheetId="70">'Div 4'!$D$70</definedName>
    <definedName name="OSRRefD22_14x_0" localSheetId="2">Summary!$D$198:$D$199</definedName>
    <definedName name="OSRRefD22_15x_0" localSheetId="48">'300'!$D$170</definedName>
    <definedName name="OSRRefD22_15x_0" localSheetId="49">'300 &amp; 317'!$D$192</definedName>
    <definedName name="OSRRefD22_15x_0" localSheetId="50">'301'!$D$67:$D$70</definedName>
    <definedName name="OSRRefD22_15x_0" localSheetId="63">'310'!$D$78</definedName>
    <definedName name="OSRRefD22_15x_0" localSheetId="71">'310 &amp; 491'!$D$80:$D$83</definedName>
    <definedName name="OSRRefD22_15x_0" localSheetId="58">'326'!$D$96</definedName>
    <definedName name="OSRRefD22_15x_0" localSheetId="56">'331'!$D$132</definedName>
    <definedName name="OSRRefD22_15x_0" localSheetId="73">'405'!$D$75</definedName>
    <definedName name="OSRRefD22_15x_0" localSheetId="79">'415'!$D$74</definedName>
    <definedName name="OSRRefD22_15x_0" localSheetId="91">'450'!$D$75</definedName>
    <definedName name="OSRRefD22_15x_0" localSheetId="72">'491'!$D$71:$D$74</definedName>
    <definedName name="OSRRefD22_15x_0" localSheetId="86">'492'!$D$79</definedName>
    <definedName name="OSRRefD22_15x_0" localSheetId="39">'Div 2'!$D$70</definedName>
    <definedName name="OSRRefD22_15x_0" localSheetId="47">'Div 3'!$D$175</definedName>
    <definedName name="OSRRefD22_15x_0" localSheetId="70">'Div 4'!$D$72:$D$74</definedName>
    <definedName name="OSRRefD22_15x_0" localSheetId="2">Summary!$D$201</definedName>
    <definedName name="OSRRefD22_16x_0" localSheetId="48">'300'!$D$172:$D$175</definedName>
    <definedName name="OSRRefD22_16x_0" localSheetId="49">'300 &amp; 317'!$D$194:$D$197</definedName>
    <definedName name="OSRRefD22_16x_0" localSheetId="50">'301'!$D$72:$D$74</definedName>
    <definedName name="OSRRefD22_16x_0" localSheetId="71">'310 &amp; 491'!$D$85</definedName>
    <definedName name="OSRRefD22_16x_0" localSheetId="58">'326'!$D$98</definedName>
    <definedName name="OSRRefD22_16x_0" localSheetId="56">'331'!$D$134:$D$137</definedName>
    <definedName name="OSRRefD22_16x_0" localSheetId="91">'450'!$D$77</definedName>
    <definedName name="OSRRefD22_16x_0" localSheetId="72">'491'!$D$76</definedName>
    <definedName name="OSRRefD22_16x_0" localSheetId="86">'492'!$D$81</definedName>
    <definedName name="OSRRefD22_16x_0" localSheetId="39">'Div 2'!$D$72:$D$76</definedName>
    <definedName name="OSRRefD22_16x_0" localSheetId="47">'Div 3'!$D$177</definedName>
    <definedName name="OSRRefD22_16x_0" localSheetId="70">'Div 4'!$D$76</definedName>
    <definedName name="OSRRefD22_16x_0" localSheetId="2">Summary!$D$203</definedName>
    <definedName name="OSRRefD22_17x_0" localSheetId="48">'300'!$D$177:$D$179</definedName>
    <definedName name="OSRRefD22_17x_0" localSheetId="49">'300 &amp; 317'!$D$199:$D$201</definedName>
    <definedName name="OSRRefD22_17x_0" localSheetId="50">'301'!$D$76</definedName>
    <definedName name="OSRRefD22_17x_0" localSheetId="71">'310 &amp; 491'!$D$87:$D$94</definedName>
    <definedName name="OSRRefD22_17x_0" localSheetId="56">'331'!$D$139</definedName>
    <definedName name="OSRRefD22_17x_0" localSheetId="72">'491'!$D$78:$D$85</definedName>
    <definedName name="OSRRefD22_17x_0" localSheetId="86">'492'!$D$83:$D$84</definedName>
    <definedName name="OSRRefD22_17x_0" localSheetId="39">'Div 2'!$D$78:$D$79</definedName>
    <definedName name="OSRRefD22_17x_0" localSheetId="47">'Div 3'!$D$179:$D$182</definedName>
    <definedName name="OSRRefD22_17x_0" localSheetId="70">'Div 4'!$D$78:$D$81</definedName>
    <definedName name="OSRRefD22_17x_0" localSheetId="2">Summary!$D$205</definedName>
    <definedName name="OSRRefD22_18x_0" localSheetId="48">'300'!$D$181:$D$184</definedName>
    <definedName name="OSRRefD22_18x_0" localSheetId="49">'300 &amp; 317'!$D$203:$D$206</definedName>
    <definedName name="OSRRefD22_18x_0" localSheetId="50">'301'!$D$78:$D$83</definedName>
    <definedName name="OSRRefD22_18x_0" localSheetId="71">'310 &amp; 491'!$D$96</definedName>
    <definedName name="OSRRefD22_18x_0" localSheetId="56">'331'!$D$141</definedName>
    <definedName name="OSRRefD22_18x_0" localSheetId="72">'491'!$D$87</definedName>
    <definedName name="OSRRefD22_18x_0" localSheetId="39">'Div 2'!$D$81</definedName>
    <definedName name="OSRRefD22_18x_0" localSheetId="47">'Div 3'!$D$184:$D$186</definedName>
    <definedName name="OSRRefD22_18x_0" localSheetId="70">'Div 4'!$D$83</definedName>
    <definedName name="OSRRefD22_18x_0" localSheetId="2">Summary!$D$207:$D$210</definedName>
    <definedName name="OSRRefD22_19x_0" localSheetId="48">'300'!$D$186:$D$187</definedName>
    <definedName name="OSRRefD22_19x_0" localSheetId="49">'300 &amp; 317'!$D$208:$D$209</definedName>
    <definedName name="OSRRefD22_19x_0" localSheetId="50">'301'!$D$85</definedName>
    <definedName name="OSRRefD22_19x_0" localSheetId="71">'310 &amp; 491'!$D$98</definedName>
    <definedName name="OSRRefD22_19x_0" localSheetId="56">'331'!$D$143</definedName>
    <definedName name="OSRRefD22_19x_0" localSheetId="72">'491'!$D$89</definedName>
    <definedName name="OSRRefD22_19x_0" localSheetId="39">'Div 2'!$D$83</definedName>
    <definedName name="OSRRefD22_19x_0" localSheetId="47">'Div 3'!$D$188:$D$192</definedName>
    <definedName name="OSRRefD22_19x_0" localSheetId="70">'Div 4'!$D$85:$D$93</definedName>
    <definedName name="OSRRefD22_19x_0" localSheetId="2">Summary!$D$212:$D$214</definedName>
    <definedName name="OSRRefD22_1x_0" localSheetId="40">'200'!$D$22</definedName>
    <definedName name="OSRRefD22_1x_0" localSheetId="41">'201'!$D$29:$D$31</definedName>
    <definedName name="OSRRefD22_1x_0" localSheetId="42">'202'!$D$29:$D$31</definedName>
    <definedName name="OSRRefD22_1x_0" localSheetId="43">'203'!$D$30:$D$33</definedName>
    <definedName name="OSRRefD22_1x_0" localSheetId="44">'204'!$D$30:$D$32</definedName>
    <definedName name="OSRRefD22_1x_0" localSheetId="45">'205'!$D$29</definedName>
    <definedName name="OSRRefD22_1x_0" localSheetId="46">'206'!$D$28:$D$30</definedName>
    <definedName name="OSRRefD22_1x_0" localSheetId="48">'300'!$D$132:$D$138</definedName>
    <definedName name="OSRRefD22_1x_0" localSheetId="49">'300 &amp; 317'!$D$154:$D$160</definedName>
    <definedName name="OSRRefD22_1x_0" localSheetId="50">'301'!$D$32:$D$38</definedName>
    <definedName name="OSRRefD22_1x_0" localSheetId="52">'307'!$D$47:$D$49</definedName>
    <definedName name="OSRRefD22_1x_0" localSheetId="53">'308'!$D$69:$D$75</definedName>
    <definedName name="OSRRefD22_1x_0" localSheetId="64">'309'!$D$22:$D$23</definedName>
    <definedName name="OSRRefD22_1x_0" localSheetId="63">'310'!$D$40:$D$42</definedName>
    <definedName name="OSRRefD22_1x_0" localSheetId="71">'310 &amp; 491'!$D$44:$D$48</definedName>
    <definedName name="OSRRefD22_1x_0" localSheetId="54">'311'!$D$69:$D$75</definedName>
    <definedName name="OSRRefD22_1x_0" localSheetId="65">'313'!$D$34</definedName>
    <definedName name="OSRRefD22_1x_0" localSheetId="57">'315'!$D$93:$D$97</definedName>
    <definedName name="OSRRefD22_1x_0" localSheetId="60">'316'!$D$40:$D$42</definedName>
    <definedName name="OSRRefD22_1x_0" localSheetId="62">'317'!$D$63:$D$67</definedName>
    <definedName name="OSRRefD22_1x_0" localSheetId="66">'321'!$D$32:$D$34</definedName>
    <definedName name="OSRRefD22_1x_0" localSheetId="67">'322'!$D$27</definedName>
    <definedName name="OSRRefD22_1x_0" localSheetId="68">'325'!$D$33:$D$35</definedName>
    <definedName name="OSRRefD22_1x_0" localSheetId="58">'326'!$D$58:$D$62</definedName>
    <definedName name="OSRRefD22_1x_0" localSheetId="51">'330'!$D$51:$D$53</definedName>
    <definedName name="OSRRefD22_1x_0" localSheetId="56">'331'!$D$93:$D$97</definedName>
    <definedName name="OSRRefD22_1x_0" localSheetId="59">'332'!$D$42:$D$44</definedName>
    <definedName name="OSRRefD22_1x_0" localSheetId="73">'405'!$D$33:$D$36</definedName>
    <definedName name="OSRRefD22_1x_0" localSheetId="74">'406'!$D$22</definedName>
    <definedName name="OSRRefD22_1x_0" localSheetId="75">'411'!$D$29:$D$33</definedName>
    <definedName name="OSRRefD22_1x_0" localSheetId="76">'412'!$D$22</definedName>
    <definedName name="OSRRefD22_1x_0" localSheetId="77">'413'!$D$26</definedName>
    <definedName name="OSRRefD22_1x_0" localSheetId="78">'414'!$D$23</definedName>
    <definedName name="OSRRefD22_1x_0" localSheetId="79">'415'!$D$33:$D$36</definedName>
    <definedName name="OSRRefD22_1x_0" localSheetId="80">'418'!$D$30:$D$33</definedName>
    <definedName name="OSRRefD22_1x_0" localSheetId="82">'423'!$D$23</definedName>
    <definedName name="OSRRefD22_1x_0" localSheetId="83">'424'!$D$22</definedName>
    <definedName name="OSRRefD22_1x_0" localSheetId="84">'425'!$D$28</definedName>
    <definedName name="OSRRefD22_1x_0" localSheetId="87">'430'!$D$29</definedName>
    <definedName name="OSRRefD22_1x_0" localSheetId="88">'433'!$D$35:$D$39</definedName>
    <definedName name="OSRRefD22_1x_0" localSheetId="90">'444'!$D$35:$D$39</definedName>
    <definedName name="OSRRefD22_1x_0" localSheetId="91">'450'!$D$35:$D$39</definedName>
    <definedName name="OSRRefD22_1x_0" localSheetId="72">'491'!$D$36:$D$40</definedName>
    <definedName name="OSRRefD22_1x_0" localSheetId="86">'492'!$D$35:$D$40</definedName>
    <definedName name="OSRRefD22_1x_0" localSheetId="93">'501'!$D$31:$D$36</definedName>
    <definedName name="OSRRefD22_1x_0" localSheetId="39">'Div 2'!$D$31:$D$36</definedName>
    <definedName name="OSRRefD22_1x_0" localSheetId="47">'Div 3'!$D$137:$D$143</definedName>
    <definedName name="OSRRefD22_1x_0" localSheetId="70">'Div 4'!$D$38:$D$43</definedName>
    <definedName name="OSRRefD22_1x_0" localSheetId="92">'Div 5'!$D$31:$D$36</definedName>
    <definedName name="OSRRefD22_1x_0" localSheetId="61">'Div 6'!$D$63:$D$67</definedName>
    <definedName name="OSRRefD22_1x_0" localSheetId="2">Summary!$D$163:$D$169</definedName>
    <definedName name="OSRRefD22_20x_0" localSheetId="48">'300'!$D$189:$D$195</definedName>
    <definedName name="OSRRefD22_20x_0" localSheetId="49">'300 &amp; 317'!$D$211:$D$217</definedName>
    <definedName name="OSRRefD22_20x_0" localSheetId="50">'301'!$D$87</definedName>
    <definedName name="OSRRefD22_20x_0" localSheetId="71">'310 &amp; 491'!$D$100</definedName>
    <definedName name="OSRRefD22_20x_0" localSheetId="72">'491'!$D$91</definedName>
    <definedName name="OSRRefD22_20x_0" localSheetId="47">'Div 3'!$D$194:$D$195</definedName>
    <definedName name="OSRRefD22_20x_0" localSheetId="70">'Div 4'!$D$95</definedName>
    <definedName name="OSRRefD22_20x_0" localSheetId="2">Summary!$D$216:$D$220</definedName>
    <definedName name="OSRRefD22_21x_0" localSheetId="48">'300'!$D$197:$D$198</definedName>
    <definedName name="OSRRefD22_21x_0" localSheetId="49">'300 &amp; 317'!$D$219:$D$220</definedName>
    <definedName name="OSRRefD22_21x_0" localSheetId="50">'301'!$D$89:$D$90</definedName>
    <definedName name="OSRRefD22_21x_0" localSheetId="47">'Div 3'!$D$197:$D$203</definedName>
    <definedName name="OSRRefD22_21x_0" localSheetId="70">'Div 4'!$D$97</definedName>
    <definedName name="OSRRefD22_21x_0" localSheetId="2">Summary!$D$222:$D$223</definedName>
    <definedName name="OSRRefD22_22x_0" localSheetId="48">'300'!$D$200</definedName>
    <definedName name="OSRRefD22_22x_0" localSheetId="49">'300 &amp; 317'!$D$222</definedName>
    <definedName name="OSRRefD22_22x_0" localSheetId="50">'301'!$D$92</definedName>
    <definedName name="OSRRefD22_22x_0" localSheetId="47">'Div 3'!$D$205:$D$206</definedName>
    <definedName name="OSRRefD22_22x_0" localSheetId="70">'Div 4'!$D$99:$D$100</definedName>
    <definedName name="OSRRefD22_22x_0" localSheetId="2">Summary!$D$225:$D$233</definedName>
    <definedName name="OSRRefD22_23x_0" localSheetId="48">'300'!$D$202:$D$204</definedName>
    <definedName name="OSRRefD22_23x_0" localSheetId="49">'300 &amp; 317'!$D$224:$D$226</definedName>
    <definedName name="OSRRefD22_23x_0" localSheetId="47">'Div 3'!$D$208</definedName>
    <definedName name="OSRRefD22_23x_0" localSheetId="70">'Div 4'!$D$102</definedName>
    <definedName name="OSRRefD22_23x_0" localSheetId="2">Summary!$D$235:$D$236</definedName>
    <definedName name="OSRRefD22_24x_0" localSheetId="48">'300'!$D$206</definedName>
    <definedName name="OSRRefD22_24x_0" localSheetId="49">'300 &amp; 317'!$D$228</definedName>
    <definedName name="OSRRefD22_24x_0" localSheetId="47">'Div 3'!$D$210:$D$212</definedName>
    <definedName name="OSRRefD22_24x_0" localSheetId="2">Summary!$D$238</definedName>
    <definedName name="OSRRefD22_25x_0" localSheetId="47">'Div 3'!$D$214</definedName>
    <definedName name="OSRRefD22_25x_0" localSheetId="2">Summary!$D$240:$D$242</definedName>
    <definedName name="OSRRefD22_26x_0" localSheetId="2">Summary!$D$244</definedName>
    <definedName name="OSRRefD22_2x_0" localSheetId="40">'200'!$D$24</definedName>
    <definedName name="OSRRefD22_2x_0" localSheetId="41">'201'!$D$33</definedName>
    <definedName name="OSRRefD22_2x_0" localSheetId="42">'202'!$D$33</definedName>
    <definedName name="OSRRefD22_2x_0" localSheetId="43">'203'!$D$35</definedName>
    <definedName name="OSRRefD22_2x_0" localSheetId="44">'204'!$D$34</definedName>
    <definedName name="OSRRefD22_2x_0" localSheetId="45">'205'!$D$31</definedName>
    <definedName name="OSRRefD22_2x_0" localSheetId="46">'206'!$D$32</definedName>
    <definedName name="OSRRefD22_2x_0" localSheetId="48">'300'!$D$140</definedName>
    <definedName name="OSRRefD22_2x_0" localSheetId="49">'300 &amp; 317'!$D$162</definedName>
    <definedName name="OSRRefD22_2x_0" localSheetId="50">'301'!$D$40</definedName>
    <definedName name="OSRRefD22_2x_0" localSheetId="52">'307'!$D$51</definedName>
    <definedName name="OSRRefD22_2x_0" localSheetId="53">'308'!$D$77</definedName>
    <definedName name="OSRRefD22_2x_0" localSheetId="64">'309'!$D$25:$D$26</definedName>
    <definedName name="OSRRefD22_2x_0" localSheetId="63">'310'!$D$44</definedName>
    <definedName name="OSRRefD22_2x_0" localSheetId="71">'310 &amp; 491'!$D$50</definedName>
    <definedName name="OSRRefD22_2x_0" localSheetId="54">'311'!$D$77</definedName>
    <definedName name="OSRRefD22_2x_0" localSheetId="65">'313'!$D$36</definedName>
    <definedName name="OSRRefD22_2x_0" localSheetId="57">'315'!$D$99</definedName>
    <definedName name="OSRRefD22_2x_0" localSheetId="60">'316'!$D$44</definedName>
    <definedName name="OSRRefD22_2x_0" localSheetId="62">'317'!$D$69</definedName>
    <definedName name="OSRRefD22_2x_0" localSheetId="66">'321'!$D$36</definedName>
    <definedName name="OSRRefD22_2x_0" localSheetId="67">'322'!$D$29</definedName>
    <definedName name="OSRRefD22_2x_0" localSheetId="68">'325'!$D$37</definedName>
    <definedName name="OSRRefD22_2x_0" localSheetId="58">'326'!$D$64</definedName>
    <definedName name="OSRRefD22_2x_0" localSheetId="51">'330'!$D$55</definedName>
    <definedName name="OSRRefD22_2x_0" localSheetId="56">'331'!$D$99</definedName>
    <definedName name="OSRRefD22_2x_0" localSheetId="59">'332'!$D$46</definedName>
    <definedName name="OSRRefD22_2x_0" localSheetId="73">'405'!$D$38</definedName>
    <definedName name="OSRRefD22_2x_0" localSheetId="74">'406'!$D$24</definedName>
    <definedName name="OSRRefD22_2x_0" localSheetId="75">'411'!$D$35</definedName>
    <definedName name="OSRRefD22_2x_0" localSheetId="76">'412'!$D$24</definedName>
    <definedName name="OSRRefD22_2x_0" localSheetId="77">'413'!$D$28</definedName>
    <definedName name="OSRRefD22_2x_0" localSheetId="78">'414'!$D$25</definedName>
    <definedName name="OSRRefD22_2x_0" localSheetId="79">'415'!$D$38</definedName>
    <definedName name="OSRRefD22_2x_0" localSheetId="80">'418'!$D$35</definedName>
    <definedName name="OSRRefD22_2x_0" localSheetId="82">'423'!$D$25</definedName>
    <definedName name="OSRRefD22_2x_0" localSheetId="83">'424'!$D$24</definedName>
    <definedName name="OSRRefD22_2x_0" localSheetId="84">'425'!$D$30</definedName>
    <definedName name="OSRRefD22_2x_0" localSheetId="87">'430'!$D$31</definedName>
    <definedName name="OSRRefD22_2x_0" localSheetId="88">'433'!$D$41</definedName>
    <definedName name="OSRRefD22_2x_0" localSheetId="90">'444'!$D$41</definedName>
    <definedName name="OSRRefD22_2x_0" localSheetId="91">'450'!$D$41</definedName>
    <definedName name="OSRRefD22_2x_0" localSheetId="72">'491'!$D$42</definedName>
    <definedName name="OSRRefD22_2x_0" localSheetId="86">'492'!$D$42</definedName>
    <definedName name="OSRRefD22_2x_0" localSheetId="93">'501'!$D$38</definedName>
    <definedName name="OSRRefD22_2x_0" localSheetId="39">'Div 2'!$D$38</definedName>
    <definedName name="OSRRefD22_2x_0" localSheetId="47">'Div 3'!$D$145</definedName>
    <definedName name="OSRRefD22_2x_0" localSheetId="70">'Div 4'!$D$45</definedName>
    <definedName name="OSRRefD22_2x_0" localSheetId="92">'Div 5'!$D$38</definedName>
    <definedName name="OSRRefD22_2x_0" localSheetId="61">'Div 6'!$D$69</definedName>
    <definedName name="OSRRefD22_2x_0" localSheetId="2">Summary!$D$171</definedName>
    <definedName name="OSRRefD22_3x_0" localSheetId="40">'200'!$D$26</definedName>
    <definedName name="OSRRefD22_3x_0" localSheetId="41">'201'!$D$35</definedName>
    <definedName name="OSRRefD22_3x_0" localSheetId="42">'202'!$D$35</definedName>
    <definedName name="OSRRefD22_3x_0" localSheetId="43">'203'!$D$37</definedName>
    <definedName name="OSRRefD22_3x_0" localSheetId="44">'204'!$D$36</definedName>
    <definedName name="OSRRefD22_3x_0" localSheetId="45">'205'!$D$33</definedName>
    <definedName name="OSRRefD22_3x_0" localSheetId="46">'206'!$D$34</definedName>
    <definedName name="OSRRefD22_3x_0" localSheetId="48">'300'!$D$142</definedName>
    <definedName name="OSRRefD22_3x_0" localSheetId="49">'300 &amp; 317'!$D$164</definedName>
    <definedName name="OSRRefD22_3x_0" localSheetId="50">'301'!$D$42</definedName>
    <definedName name="OSRRefD22_3x_0" localSheetId="52">'307'!$D$53</definedName>
    <definedName name="OSRRefD22_3x_0" localSheetId="53">'308'!$D$79</definedName>
    <definedName name="OSRRefD22_3x_0" localSheetId="64">'309'!$D$28</definedName>
    <definedName name="OSRRefD22_3x_0" localSheetId="63">'310'!$D$46</definedName>
    <definedName name="OSRRefD22_3x_0" localSheetId="71">'310 &amp; 491'!$D$52</definedName>
    <definedName name="OSRRefD22_3x_0" localSheetId="54">'311'!$D$79</definedName>
    <definedName name="OSRRefD22_3x_0" localSheetId="65">'313'!$D$38</definedName>
    <definedName name="OSRRefD22_3x_0" localSheetId="57">'315'!$D$101:$D$102</definedName>
    <definedName name="OSRRefD22_3x_0" localSheetId="60">'316'!$D$46</definedName>
    <definedName name="OSRRefD22_3x_0" localSheetId="62">'317'!$D$71</definedName>
    <definedName name="OSRRefD22_3x_0" localSheetId="66">'321'!$D$38</definedName>
    <definedName name="OSRRefD22_3x_0" localSheetId="67">'322'!$D$31</definedName>
    <definedName name="OSRRefD22_3x_0" localSheetId="68">'325'!$D$39</definedName>
    <definedName name="OSRRefD22_3x_0" localSheetId="58">'326'!$D$66</definedName>
    <definedName name="OSRRefD22_3x_0" localSheetId="51">'330'!$D$57</definedName>
    <definedName name="OSRRefD22_3x_0" localSheetId="56">'331'!$D$101</definedName>
    <definedName name="OSRRefD22_3x_0" localSheetId="59">'332'!$D$48</definedName>
    <definedName name="OSRRefD22_3x_0" localSheetId="73">'405'!$D$40</definedName>
    <definedName name="OSRRefD22_3x_0" localSheetId="74">'406'!$D$26</definedName>
    <definedName name="OSRRefD22_3x_0" localSheetId="75">'411'!$D$37:$D$38</definedName>
    <definedName name="OSRRefD22_3x_0" localSheetId="76">'412'!$D$26</definedName>
    <definedName name="OSRRefD22_3x_0" localSheetId="77">'413'!$D$30</definedName>
    <definedName name="OSRRefD22_3x_0" localSheetId="78">'414'!$D$27</definedName>
    <definedName name="OSRRefD22_3x_0" localSheetId="79">'415'!$D$40</definedName>
    <definedName name="OSRRefD22_3x_0" localSheetId="80">'418'!$D$37</definedName>
    <definedName name="OSRRefD22_3x_0" localSheetId="82">'423'!$D$27</definedName>
    <definedName name="OSRRefD22_3x_0" localSheetId="83">'424'!$D$26</definedName>
    <definedName name="OSRRefD22_3x_0" localSheetId="84">'425'!$D$32</definedName>
    <definedName name="OSRRefD22_3x_0" localSheetId="87">'430'!$D$33</definedName>
    <definedName name="OSRRefD22_3x_0" localSheetId="88">'433'!$D$43</definedName>
    <definedName name="OSRRefD22_3x_0" localSheetId="90">'444'!$D$43</definedName>
    <definedName name="OSRRefD22_3x_0" localSheetId="91">'450'!$D$43</definedName>
    <definedName name="OSRRefD22_3x_0" localSheetId="72">'491'!$D$44</definedName>
    <definedName name="OSRRefD22_3x_0" localSheetId="86">'492'!$D$44</definedName>
    <definedName name="OSRRefD22_3x_0" localSheetId="93">'501'!$D$40</definedName>
    <definedName name="OSRRefD22_3x_0" localSheetId="39">'Div 2'!$D$40</definedName>
    <definedName name="OSRRefD22_3x_0" localSheetId="47">'Div 3'!$D$147</definedName>
    <definedName name="OSRRefD22_3x_0" localSheetId="70">'Div 4'!$D$47</definedName>
    <definedName name="OSRRefD22_3x_0" localSheetId="92">'Div 5'!$D$40</definedName>
    <definedName name="OSRRefD22_3x_0" localSheetId="61">'Div 6'!$D$71</definedName>
    <definedName name="OSRRefD22_3x_0" localSheetId="2">Summary!$D$173</definedName>
    <definedName name="OSRRefD22_4x_0" localSheetId="41">'201'!$D$37</definedName>
    <definedName name="OSRRefD22_4x_0" localSheetId="42">'202'!$D$37:$D$38</definedName>
    <definedName name="OSRRefD22_4x_0" localSheetId="43">'203'!$D$39</definedName>
    <definedName name="OSRRefD22_4x_0" localSheetId="44">'204'!$D$38:$D$41</definedName>
    <definedName name="OSRRefD22_4x_0" localSheetId="45">'205'!$D$35:$D$36</definedName>
    <definedName name="OSRRefD22_4x_0" localSheetId="46">'206'!$D$36</definedName>
    <definedName name="OSRRefD22_4x_0" localSheetId="48">'300'!$D$144</definedName>
    <definedName name="OSRRefD22_4x_0" localSheetId="49">'300 &amp; 317'!$D$166</definedName>
    <definedName name="OSRRefD22_4x_0" localSheetId="50">'301'!$D$44</definedName>
    <definedName name="OSRRefD22_4x_0" localSheetId="52">'307'!$D$55:$D$56</definedName>
    <definedName name="OSRRefD22_4x_0" localSheetId="53">'308'!$D$81</definedName>
    <definedName name="OSRRefD22_4x_0" localSheetId="63">'310'!$D$48</definedName>
    <definedName name="OSRRefD22_4x_0" localSheetId="71">'310 &amp; 491'!$D$54</definedName>
    <definedName name="OSRRefD22_4x_0" localSheetId="54">'311'!$D$81</definedName>
    <definedName name="OSRRefD22_4x_0" localSheetId="65">'313'!$D$40</definedName>
    <definedName name="OSRRefD22_4x_0" localSheetId="57">'315'!$D$104</definedName>
    <definedName name="OSRRefD22_4x_0" localSheetId="60">'316'!$D$48</definedName>
    <definedName name="OSRRefD22_4x_0" localSheetId="62">'317'!$D$73</definedName>
    <definedName name="OSRRefD22_4x_0" localSheetId="66">'321'!$D$40</definedName>
    <definedName name="OSRRefD22_4x_0" localSheetId="67">'322'!$D$33:$D$34</definedName>
    <definedName name="OSRRefD22_4x_0" localSheetId="68">'325'!$D$41</definedName>
    <definedName name="OSRRefD22_4x_0" localSheetId="58">'326'!$D$68</definedName>
    <definedName name="OSRRefD22_4x_0" localSheetId="51">'330'!$D$59:$D$60</definedName>
    <definedName name="OSRRefD22_4x_0" localSheetId="56">'331'!$D$103</definedName>
    <definedName name="OSRRefD22_4x_0" localSheetId="59">'332'!$D$50</definedName>
    <definedName name="OSRRefD22_4x_0" localSheetId="73">'405'!$D$42</definedName>
    <definedName name="OSRRefD22_4x_0" localSheetId="74">'406'!$D$28</definedName>
    <definedName name="OSRRefD22_4x_0" localSheetId="75">'411'!$D$40</definedName>
    <definedName name="OSRRefD22_4x_0" localSheetId="76">'412'!$D$28</definedName>
    <definedName name="OSRRefD22_4x_0" localSheetId="77">'413'!$D$32</definedName>
    <definedName name="OSRRefD22_4x_0" localSheetId="78">'414'!$D$29:$D$30</definedName>
    <definedName name="OSRRefD22_4x_0" localSheetId="79">'415'!$D$42</definedName>
    <definedName name="OSRRefD22_4x_0" localSheetId="80">'418'!$D$39:$D$40</definedName>
    <definedName name="OSRRefD22_4x_0" localSheetId="84">'425'!$D$34</definedName>
    <definedName name="OSRRefD22_4x_0" localSheetId="87">'430'!$D$35</definedName>
    <definedName name="OSRRefD22_4x_0" localSheetId="88">'433'!$D$45</definedName>
    <definedName name="OSRRefD22_4x_0" localSheetId="90">'444'!$D$45</definedName>
    <definedName name="OSRRefD22_4x_0" localSheetId="91">'450'!$D$45</definedName>
    <definedName name="OSRRefD22_4x_0" localSheetId="72">'491'!$D$46</definedName>
    <definedName name="OSRRefD22_4x_0" localSheetId="86">'492'!$D$46</definedName>
    <definedName name="OSRRefD22_4x_0" localSheetId="93">'501'!$D$42:$D$43</definedName>
    <definedName name="OSRRefD22_4x_0" localSheetId="39">'Div 2'!$D$42</definedName>
    <definedName name="OSRRefD22_4x_0" localSheetId="47">'Div 3'!$D$149</definedName>
    <definedName name="OSRRefD22_4x_0" localSheetId="70">'Div 4'!$D$49</definedName>
    <definedName name="OSRRefD22_4x_0" localSheetId="92">'Div 5'!$D$42:$D$43</definedName>
    <definedName name="OSRRefD22_4x_0" localSheetId="61">'Div 6'!$D$73</definedName>
    <definedName name="OSRRefD22_4x_0" localSheetId="2">Summary!$D$175</definedName>
    <definedName name="OSRRefD22_5x_0" localSheetId="41">'201'!$D$39</definedName>
    <definedName name="OSRRefD22_5x_0" localSheetId="42">'202'!$D$40</definedName>
    <definedName name="OSRRefD22_5x_0" localSheetId="43">'203'!$D$41</definedName>
    <definedName name="OSRRefD22_5x_0" localSheetId="44">'204'!$D$43</definedName>
    <definedName name="OSRRefD22_5x_0" localSheetId="45">'205'!$D$38:$D$39</definedName>
    <definedName name="OSRRefD22_5x_0" localSheetId="46">'206'!$D$38</definedName>
    <definedName name="OSRRefD22_5x_0" localSheetId="48">'300'!$D$146:$D$147</definedName>
    <definedName name="OSRRefD22_5x_0" localSheetId="49">'300 &amp; 317'!$D$168:$D$169</definedName>
    <definedName name="OSRRefD22_5x_0" localSheetId="50">'301'!$D$46:$D$47</definedName>
    <definedName name="OSRRefD22_5x_0" localSheetId="52">'307'!$D$58</definedName>
    <definedName name="OSRRefD22_5x_0" localSheetId="53">'308'!$D$83</definedName>
    <definedName name="OSRRefD22_5x_0" localSheetId="63">'310'!$D$50:$D$51</definedName>
    <definedName name="OSRRefD22_5x_0" localSheetId="71">'310 &amp; 491'!$D$56:$D$57</definedName>
    <definedName name="OSRRefD22_5x_0" localSheetId="54">'311'!$D$83</definedName>
    <definedName name="OSRRefD22_5x_0" localSheetId="65">'313'!$D$42</definedName>
    <definedName name="OSRRefD22_5x_0" localSheetId="57">'315'!$D$106:$D$107</definedName>
    <definedName name="OSRRefD22_5x_0" localSheetId="60">'316'!$D$50</definedName>
    <definedName name="OSRRefD22_5x_0" localSheetId="62">'317'!$D$75:$D$76</definedName>
    <definedName name="OSRRefD22_5x_0" localSheetId="66">'321'!$D$42</definedName>
    <definedName name="OSRRefD22_5x_0" localSheetId="67">'322'!$D$36</definedName>
    <definedName name="OSRRefD22_5x_0" localSheetId="68">'325'!$D$43:$D$44</definedName>
    <definedName name="OSRRefD22_5x_0" localSheetId="58">'326'!$D$70</definedName>
    <definedName name="OSRRefD22_5x_0" localSheetId="51">'330'!$D$62:$D$63</definedName>
    <definedName name="OSRRefD22_5x_0" localSheetId="56">'331'!$D$105:$D$106</definedName>
    <definedName name="OSRRefD22_5x_0" localSheetId="59">'332'!$D$52</definedName>
    <definedName name="OSRRefD22_5x_0" localSheetId="73">'405'!$D$44:$D$45</definedName>
    <definedName name="OSRRefD22_5x_0" localSheetId="75">'411'!$D$42</definedName>
    <definedName name="OSRRefD22_5x_0" localSheetId="77">'413'!$D$34</definedName>
    <definedName name="OSRRefD22_5x_0" localSheetId="79">'415'!$D$44:$D$45</definedName>
    <definedName name="OSRRefD22_5x_0" localSheetId="80">'418'!$D$42</definedName>
    <definedName name="OSRRefD22_5x_0" localSheetId="84">'425'!$D$36</definedName>
    <definedName name="OSRRefD22_5x_0" localSheetId="87">'430'!$D$37:$D$38</definedName>
    <definedName name="OSRRefD22_5x_0" localSheetId="88">'433'!$D$47</definedName>
    <definedName name="OSRRefD22_5x_0" localSheetId="90">'444'!$D$47</definedName>
    <definedName name="OSRRefD22_5x_0" localSheetId="91">'450'!$D$47</definedName>
    <definedName name="OSRRefD22_5x_0" localSheetId="72">'491'!$D$48:$D$49</definedName>
    <definedName name="OSRRefD22_5x_0" localSheetId="86">'492'!$D$48</definedName>
    <definedName name="OSRRefD22_5x_0" localSheetId="93">'501'!$D$45</definedName>
    <definedName name="OSRRefD22_5x_0" localSheetId="39">'Div 2'!$D$44</definedName>
    <definedName name="OSRRefD22_5x_0" localSheetId="47">'Div 3'!$D$151:$D$152</definedName>
    <definedName name="OSRRefD22_5x_0" localSheetId="70">'Div 4'!$D$51:$D$52</definedName>
    <definedName name="OSRRefD22_5x_0" localSheetId="92">'Div 5'!$D$45</definedName>
    <definedName name="OSRRefD22_5x_0" localSheetId="61">'Div 6'!$D$75:$D$76</definedName>
    <definedName name="OSRRefD22_5x_0" localSheetId="2">Summary!$D$177:$D$178</definedName>
    <definedName name="OSRRefD22_6x_0" localSheetId="41">'201'!$D$41</definedName>
    <definedName name="OSRRefD22_6x_0" localSheetId="42">'202'!$D$42:$D$44</definedName>
    <definedName name="OSRRefD22_6x_0" localSheetId="43">'203'!$D$43</definedName>
    <definedName name="OSRRefD22_6x_0" localSheetId="44">'204'!$D$45:$D$46</definedName>
    <definedName name="OSRRefD22_6x_0" localSheetId="45">'205'!$D$41</definedName>
    <definedName name="OSRRefD22_6x_0" localSheetId="46">'206'!$D$40</definedName>
    <definedName name="OSRRefD22_6x_0" localSheetId="48">'300'!$D$149:$D$150</definedName>
    <definedName name="OSRRefD22_6x_0" localSheetId="49">'300 &amp; 317'!$D$171:$D$172</definedName>
    <definedName name="OSRRefD22_6x_0" localSheetId="50">'301'!$D$49</definedName>
    <definedName name="OSRRefD22_6x_0" localSheetId="52">'307'!$D$60</definedName>
    <definedName name="OSRRefD22_6x_0" localSheetId="53">'308'!$D$85</definedName>
    <definedName name="OSRRefD22_6x_0" localSheetId="63">'310'!$D$53</definedName>
    <definedName name="OSRRefD22_6x_0" localSheetId="71">'310 &amp; 491'!$D$59</definedName>
    <definedName name="OSRRefD22_6x_0" localSheetId="54">'311'!$D$85</definedName>
    <definedName name="OSRRefD22_6x_0" localSheetId="65">'313'!$D$44</definedName>
    <definedName name="OSRRefD22_6x_0" localSheetId="57">'315'!$D$109:$D$110</definedName>
    <definedName name="OSRRefD22_6x_0" localSheetId="60">'316'!$D$52:$D$53</definedName>
    <definedName name="OSRRefD22_6x_0" localSheetId="62">'317'!$D$78</definedName>
    <definedName name="OSRRefD22_6x_0" localSheetId="66">'321'!$D$44:$D$45</definedName>
    <definedName name="OSRRefD22_6x_0" localSheetId="67">'322'!$D$38</definedName>
    <definedName name="OSRRefD22_6x_0" localSheetId="68">'325'!$D$46</definedName>
    <definedName name="OSRRefD22_6x_0" localSheetId="58">'326'!$D$72</definedName>
    <definedName name="OSRRefD22_6x_0" localSheetId="51">'330'!$D$65</definedName>
    <definedName name="OSRRefD22_6x_0" localSheetId="56">'331'!$D$108</definedName>
    <definedName name="OSRRefD22_6x_0" localSheetId="59">'332'!$D$54:$D$55</definedName>
    <definedName name="OSRRefD22_6x_0" localSheetId="73">'405'!$D$47</definedName>
    <definedName name="OSRRefD22_6x_0" localSheetId="75">'411'!$D$44</definedName>
    <definedName name="OSRRefD22_6x_0" localSheetId="79">'415'!$D$47</definedName>
    <definedName name="OSRRefD22_6x_0" localSheetId="80">'418'!$D$44</definedName>
    <definedName name="OSRRefD22_6x_0" localSheetId="84">'425'!$D$38</definedName>
    <definedName name="OSRRefD22_6x_0" localSheetId="87">'430'!$D$40</definedName>
    <definedName name="OSRRefD22_6x_0" localSheetId="88">'433'!$D$49</definedName>
    <definedName name="OSRRefD22_6x_0" localSheetId="90">'444'!$D$49</definedName>
    <definedName name="OSRRefD22_6x_0" localSheetId="91">'450'!$D$49</definedName>
    <definedName name="OSRRefD22_6x_0" localSheetId="72">'491'!$D$51</definedName>
    <definedName name="OSRRefD22_6x_0" localSheetId="86">'492'!$D$50</definedName>
    <definedName name="OSRRefD22_6x_0" localSheetId="93">'501'!$D$47</definedName>
    <definedName name="OSRRefD22_6x_0" localSheetId="39">'Div 2'!$D$46</definedName>
    <definedName name="OSRRefD22_6x_0" localSheetId="47">'Div 3'!$D$154:$D$155</definedName>
    <definedName name="OSRRefD22_6x_0" localSheetId="70">'Div 4'!$D$54</definedName>
    <definedName name="OSRRefD22_6x_0" localSheetId="92">'Div 5'!$D$47</definedName>
    <definedName name="OSRRefD22_6x_0" localSheetId="61">'Div 6'!$D$78</definedName>
    <definedName name="OSRRefD22_6x_0" localSheetId="2">Summary!$D$180:$D$181</definedName>
    <definedName name="OSRRefD22_7x_0" localSheetId="41">'201'!$D$43</definedName>
    <definedName name="OSRRefD22_7x_0" localSheetId="42">'202'!$D$46</definedName>
    <definedName name="OSRRefD22_7x_0" localSheetId="43">'203'!$D$45:$D$46</definedName>
    <definedName name="OSRRefD22_7x_0" localSheetId="48">'300'!$D$152</definedName>
    <definedName name="OSRRefD22_7x_0" localSheetId="49">'300 &amp; 317'!$D$174</definedName>
    <definedName name="OSRRefD22_7x_0" localSheetId="50">'301'!$D$51</definedName>
    <definedName name="OSRRefD22_7x_0" localSheetId="52">'307'!$D$62</definedName>
    <definedName name="OSRRefD22_7x_0" localSheetId="53">'308'!$D$87</definedName>
    <definedName name="OSRRefD22_7x_0" localSheetId="63">'310'!$D$55</definedName>
    <definedName name="OSRRefD22_7x_0" localSheetId="71">'310 &amp; 491'!$D$61</definedName>
    <definedName name="OSRRefD22_7x_0" localSheetId="54">'311'!$D$87</definedName>
    <definedName name="OSRRefD22_7x_0" localSheetId="57">'315'!$D$112</definedName>
    <definedName name="OSRRefD22_7x_0" localSheetId="60">'316'!$D$55</definedName>
    <definedName name="OSRRefD22_7x_0" localSheetId="62">'317'!$D$80</definedName>
    <definedName name="OSRRefD22_7x_0" localSheetId="66">'321'!$D$47</definedName>
    <definedName name="OSRRefD22_7x_0" localSheetId="67">'322'!$D$40</definedName>
    <definedName name="OSRRefD22_7x_0" localSheetId="68">'325'!$D$48</definedName>
    <definedName name="OSRRefD22_7x_0" localSheetId="58">'326'!$D$74</definedName>
    <definedName name="OSRRefD22_7x_0" localSheetId="51">'330'!$D$67</definedName>
    <definedName name="OSRRefD22_7x_0" localSheetId="56">'331'!$D$110:$D$111</definedName>
    <definedName name="OSRRefD22_7x_0" localSheetId="59">'332'!$D$57</definedName>
    <definedName name="OSRRefD22_7x_0" localSheetId="73">'405'!$D$49</definedName>
    <definedName name="OSRRefD22_7x_0" localSheetId="75">'411'!$D$46</definedName>
    <definedName name="OSRRefD22_7x_0" localSheetId="79">'415'!$D$49</definedName>
    <definedName name="OSRRefD22_7x_0" localSheetId="80">'418'!$D$46</definedName>
    <definedName name="OSRRefD22_7x_0" localSheetId="84">'425'!$D$40</definedName>
    <definedName name="OSRRefD22_7x_0" localSheetId="87">'430'!$D$42</definedName>
    <definedName name="OSRRefD22_7x_0" localSheetId="88">'433'!$D$51</definedName>
    <definedName name="OSRRefD22_7x_0" localSheetId="90">'444'!$D$51</definedName>
    <definedName name="OSRRefD22_7x_0" localSheetId="91">'450'!$D$51</definedName>
    <definedName name="OSRRefD22_7x_0" localSheetId="72">'491'!$D$53</definedName>
    <definedName name="OSRRefD22_7x_0" localSheetId="86">'492'!$D$52</definedName>
    <definedName name="OSRRefD22_7x_0" localSheetId="93">'501'!$D$49:$D$50</definedName>
    <definedName name="OSRRefD22_7x_0" localSheetId="39">'Div 2'!$D$48</definedName>
    <definedName name="OSRRefD22_7x_0" localSheetId="47">'Div 3'!$D$157</definedName>
    <definedName name="OSRRefD22_7x_0" localSheetId="70">'Div 4'!$D$56</definedName>
    <definedName name="OSRRefD22_7x_0" localSheetId="92">'Div 5'!$D$49:$D$50</definedName>
    <definedName name="OSRRefD22_7x_0" localSheetId="61">'Div 6'!$D$80</definedName>
    <definedName name="OSRRefD22_7x_0" localSheetId="2">Summary!$D$183</definedName>
    <definedName name="OSRRefD22_8x_0" localSheetId="41">'201'!$D$45:$D$46</definedName>
    <definedName name="OSRRefD22_8x_0" localSheetId="42">'202'!$D$48:$D$49</definedName>
    <definedName name="OSRRefD22_8x_0" localSheetId="43">'203'!$D$48:$D$49</definedName>
    <definedName name="OSRRefD22_8x_0" localSheetId="48">'300'!$D$154</definedName>
    <definedName name="OSRRefD22_8x_0" localSheetId="49">'300 &amp; 317'!$D$176</definedName>
    <definedName name="OSRRefD22_8x_0" localSheetId="50">'301'!$D$53</definedName>
    <definedName name="OSRRefD22_8x_0" localSheetId="52">'307'!$D$64:$D$65</definedName>
    <definedName name="OSRRefD22_8x_0" localSheetId="53">'308'!$D$89</definedName>
    <definedName name="OSRRefD22_8x_0" localSheetId="63">'310'!$D$57</definedName>
    <definedName name="OSRRefD22_8x_0" localSheetId="71">'310 &amp; 491'!$D$63:$D$64</definedName>
    <definedName name="OSRRefD22_8x_0" localSheetId="54">'311'!$D$89</definedName>
    <definedName name="OSRRefD22_8x_0" localSheetId="57">'315'!$D$114:$D$115</definedName>
    <definedName name="OSRRefD22_8x_0" localSheetId="60">'316'!$D$57:$D$59</definedName>
    <definedName name="OSRRefD22_8x_0" localSheetId="62">'317'!$D$82:$D$84</definedName>
    <definedName name="OSRRefD22_8x_0" localSheetId="66">'321'!$D$49:$D$50</definedName>
    <definedName name="OSRRefD22_8x_0" localSheetId="68">'325'!$D$50</definedName>
    <definedName name="OSRRefD22_8x_0" localSheetId="58">'326'!$D$76</definedName>
    <definedName name="OSRRefD22_8x_0" localSheetId="51">'330'!$D$69:$D$70</definedName>
    <definedName name="OSRRefD22_8x_0" localSheetId="56">'331'!$D$113</definedName>
    <definedName name="OSRRefD22_8x_0" localSheetId="59">'332'!$D$59:$D$61</definedName>
    <definedName name="OSRRefD22_8x_0" localSheetId="73">'405'!$D$51</definedName>
    <definedName name="OSRRefD22_8x_0" localSheetId="75">'411'!$D$48</definedName>
    <definedName name="OSRRefD22_8x_0" localSheetId="79">'415'!$D$51</definedName>
    <definedName name="OSRRefD22_8x_0" localSheetId="80">'418'!$D$48:$D$49</definedName>
    <definedName name="OSRRefD22_8x_0" localSheetId="84">'425'!$D$42</definedName>
    <definedName name="OSRRefD22_8x_0" localSheetId="88">'433'!$D$53</definedName>
    <definedName name="OSRRefD22_8x_0" localSheetId="90">'444'!$D$53</definedName>
    <definedName name="OSRRefD22_8x_0" localSheetId="91">'450'!$D$53</definedName>
    <definedName name="OSRRefD22_8x_0" localSheetId="72">'491'!$D$55</definedName>
    <definedName name="OSRRefD22_8x_0" localSheetId="86">'492'!$D$54</definedName>
    <definedName name="OSRRefD22_8x_0" localSheetId="93">'501'!$D$52:$D$53</definedName>
    <definedName name="OSRRefD22_8x_0" localSheetId="39">'Div 2'!$D$50</definedName>
    <definedName name="OSRRefD22_8x_0" localSheetId="47">'Div 3'!$D$159</definedName>
    <definedName name="OSRRefD22_8x_0" localSheetId="70">'Div 4'!$D$58</definedName>
    <definedName name="OSRRefD22_8x_0" localSheetId="92">'Div 5'!$D$52:$D$53</definedName>
    <definedName name="OSRRefD22_8x_0" localSheetId="61">'Div 6'!$D$82:$D$84</definedName>
    <definedName name="OSRRefD22_8x_0" localSheetId="2">Summary!$D$185</definedName>
    <definedName name="OSRRefD22_9x_0" localSheetId="41">'201'!$D$48:$D$49</definedName>
    <definedName name="OSRRefD22_9x_0" localSheetId="42">'202'!$D$51</definedName>
    <definedName name="OSRRefD22_9x_0" localSheetId="43">'203'!$D$51</definedName>
    <definedName name="OSRRefD22_9x_0" localSheetId="48">'300'!$D$156</definedName>
    <definedName name="OSRRefD22_9x_0" localSheetId="49">'300 &amp; 317'!$D$178</definedName>
    <definedName name="OSRRefD22_9x_0" localSheetId="50">'301'!$D$55</definedName>
    <definedName name="OSRRefD22_9x_0" localSheetId="52">'307'!$D$67:$D$68</definedName>
    <definedName name="OSRRefD22_9x_0" localSheetId="53">'308'!$D$91:$D$93</definedName>
    <definedName name="OSRRefD22_9x_0" localSheetId="63">'310'!$D$59</definedName>
    <definedName name="OSRRefD22_9x_0" localSheetId="71">'310 &amp; 491'!$D$66</definedName>
    <definedName name="OSRRefD22_9x_0" localSheetId="54">'311'!$D$91:$D$93</definedName>
    <definedName name="OSRRefD22_9x_0" localSheetId="57">'315'!$D$117:$D$118</definedName>
    <definedName name="OSRRefD22_9x_0" localSheetId="60">'316'!$D$61</definedName>
    <definedName name="OSRRefD22_9x_0" localSheetId="62">'317'!$D$86</definedName>
    <definedName name="OSRRefD22_9x_0" localSheetId="66">'321'!$D$52:$D$56</definedName>
    <definedName name="OSRRefD22_9x_0" localSheetId="68">'325'!$D$52:$D$53</definedName>
    <definedName name="OSRRefD22_9x_0" localSheetId="58">'326'!$D$78</definedName>
    <definedName name="OSRRefD22_9x_0" localSheetId="51">'330'!$D$72:$D$73</definedName>
    <definedName name="OSRRefD22_9x_0" localSheetId="56">'331'!$D$115:$D$116</definedName>
    <definedName name="OSRRefD22_9x_0" localSheetId="59">'332'!$D$63</definedName>
    <definedName name="OSRRefD22_9x_0" localSheetId="73">'405'!$D$53</definedName>
    <definedName name="OSRRefD22_9x_0" localSheetId="75">'411'!$D$50:$D$52</definedName>
    <definedName name="OSRRefD22_9x_0" localSheetId="79">'415'!$D$53</definedName>
    <definedName name="OSRRefD22_9x_0" localSheetId="80">'418'!$D$51</definedName>
    <definedName name="OSRRefD22_9x_0" localSheetId="88">'433'!$D$55</definedName>
    <definedName name="OSRRefD22_9x_0" localSheetId="90">'444'!$D$55</definedName>
    <definedName name="OSRRefD22_9x_0" localSheetId="91">'450'!$D$55</definedName>
    <definedName name="OSRRefD22_9x_0" localSheetId="72">'491'!$D$57</definedName>
    <definedName name="OSRRefD22_9x_0" localSheetId="86">'492'!$D$56</definedName>
    <definedName name="OSRRefD22_9x_0" localSheetId="93">'501'!$D$55</definedName>
    <definedName name="OSRRefD22_9x_0" localSheetId="39">'Div 2'!$D$52:$D$53</definedName>
    <definedName name="OSRRefD22_9x_0" localSheetId="47">'Div 3'!$D$161</definedName>
    <definedName name="OSRRefD22_9x_0" localSheetId="70">'Div 4'!$D$60</definedName>
    <definedName name="OSRRefD22_9x_0" localSheetId="92">'Div 5'!$D$55</definedName>
    <definedName name="OSRRefD22_9x_0" localSheetId="61">'Div 6'!$D$86</definedName>
    <definedName name="OSRRefD22_9x_0" localSheetId="2">Summary!$D$187</definedName>
    <definedName name="OSRRefD22x_0" localSheetId="40">'200'!$D$20,'200'!$D$22,'200'!$D$24,'200'!$D$26</definedName>
    <definedName name="OSRRefD22x_0" localSheetId="41">'201'!$D$20:$D$27,'201'!$D$29:$D$31,'201'!$D$33,'201'!$D$35,'201'!$D$37,'201'!$D$39,'201'!$D$41,'201'!$D$43,'201'!$D$45:$D$46,'201'!$D$48:$D$49,'201'!$D$51,'201'!$D$53:$D$54,'201'!$D$56</definedName>
    <definedName name="OSRRefD22x_0" localSheetId="42">'202'!$D$20:$D$27,'202'!$D$29:$D$31,'202'!$D$33,'202'!$D$35,'202'!$D$37:$D$38,'202'!$D$40,'202'!$D$42:$D$44,'202'!$D$46,'202'!$D$48:$D$49,'202'!$D$51,'202'!$D$53,'202'!$D$55</definedName>
    <definedName name="OSRRefD22x_0" localSheetId="43">'203'!$D$20:$D$28,'203'!$D$30:$D$33,'203'!$D$35,'203'!$D$37,'203'!$D$39,'203'!$D$41,'203'!$D$43,'203'!$D$45:$D$46,'203'!$D$48:$D$49,'203'!$D$51,'203'!$D$53:$D$56,'203'!$D$58,'203'!$D$60</definedName>
    <definedName name="OSRRefD22x_0" localSheetId="44">'204'!$D$20:$D$28,'204'!$D$30:$D$32,'204'!$D$34,'204'!$D$36,'204'!$D$38:$D$41,'204'!$D$43,'204'!$D$45:$D$46</definedName>
    <definedName name="OSRRefD22x_0" localSheetId="45">'205'!$D$20:$D$27,'205'!$D$29,'205'!$D$31,'205'!$D$33,'205'!$D$35:$D$36,'205'!$D$38:$D$39,'205'!$D$41</definedName>
    <definedName name="OSRRefD22x_0" localSheetId="46">'206'!$D$20:$D$26,'206'!$D$28:$D$30,'206'!$D$32,'206'!$D$34,'206'!$D$36,'206'!$D$38,'206'!$D$40</definedName>
    <definedName name="OSRRefD22x_0" localSheetId="48">'300'!$D$121:$D$130,'300'!$D$132:$D$138,'300'!$D$140,'300'!$D$142,'300'!$D$144,'300'!$D$146:$D$147,'300'!$D$149:$D$150,'300'!$D$152,'300'!$D$154,'300'!$D$156,'300'!$D$158:$D$159,'300'!$D$161,'300'!$D$163,'300'!$D$165:$D$166,'300'!$D$168,'300'!$D$170,'300'!$D$172:$D$175,'300'!$D$177:$D$179,'300'!$D$181:$D$184,'300'!$D$186:$D$187,'300'!$D$189:$D$195,'300'!$D$197:$D$198,'300'!$D$200,'300'!$D$202:$D$204,'300'!$D$206</definedName>
    <definedName name="OSRRefD22x_0" localSheetId="49">'300 &amp; 317'!$D$143:$D$152,'300 &amp; 317'!$D$154:$D$160,'300 &amp; 317'!$D$162,'300 &amp; 317'!$D$164,'300 &amp; 317'!$D$166,'300 &amp; 317'!$D$168:$D$169,'300 &amp; 317'!$D$171:$D$172,'300 &amp; 317'!$D$174,'300 &amp; 317'!$D$176,'300 &amp; 317'!$D$178,'300 &amp; 317'!$D$180:$D$181,'300 &amp; 317'!$D$183,'300 &amp; 317'!$D$185,'300 &amp; 317'!$D$187:$D$188,'300 &amp; 317'!$D$190,'300 &amp; 317'!$D$192,'300 &amp; 317'!$D$194:$D$197,'300 &amp; 317'!$D$199:$D$201,'300 &amp; 317'!$D$203:$D$206,'300 &amp; 317'!$D$208:$D$209,'300 &amp; 317'!$D$211:$D$217,'300 &amp; 317'!$D$219:$D$220,'300 &amp; 317'!$D$222,'300 &amp; 317'!$D$224:$D$226,'300 &amp; 317'!$D$228</definedName>
    <definedName name="OSRRefD22x_0" localSheetId="50">'301'!$D$21:$D$30,'301'!$D$32:$D$38,'301'!$D$40,'301'!$D$42,'301'!$D$44,'301'!$D$46:$D$47,'301'!$D$49,'301'!$D$51,'301'!$D$53,'301'!$D$55,'301'!$D$57,'301'!$D$59,'301'!$D$61,'301'!$D$63,'301'!$D$65,'301'!$D$67:$D$70,'301'!$D$72:$D$74,'301'!$D$76,'301'!$D$78:$D$83,'301'!$D$85,'301'!$D$87,'301'!$D$89:$D$90,'301'!$D$92</definedName>
    <definedName name="OSRRefD22x_0" localSheetId="52">'307'!$D$43:$D$45,'307'!$D$47:$D$49,'307'!$D$51,'307'!$D$53,'307'!$D$55:$D$56,'307'!$D$58,'307'!$D$60,'307'!$D$62,'307'!$D$64:$D$65,'307'!$D$67:$D$68,'307'!$D$70:$D$73,'307'!$D$75,'307'!$D$77</definedName>
    <definedName name="OSRRefD22x_0" localSheetId="53">'308'!$D$59:$D$67,'308'!$D$69:$D$75,'308'!$D$77,'308'!$D$79,'308'!$D$81,'308'!$D$83,'308'!$D$85,'308'!$D$87,'308'!$D$89,'308'!$D$91:$D$93,'308'!$D$95,'308'!$D$97:$D$98,'308'!$D$100:$D$101,'308'!$D$103</definedName>
    <definedName name="OSRRefD22x_0" localSheetId="64">'309'!$D$20,'309'!$D$22:$D$23,'309'!$D$25:$D$26,'309'!$D$28</definedName>
    <definedName name="OSRRefD22x_0" localSheetId="63">'310'!$D$31:$D$38,'310'!$D$40:$D$42,'310'!$D$44,'310'!$D$46,'310'!$D$48,'310'!$D$50:$D$51,'310'!$D$53,'310'!$D$55,'310'!$D$57,'310'!$D$59,'310'!$D$61:$D$62,'310'!$D$64,'310'!$D$66:$D$68,'310'!$D$70:$D$74,'310'!$D$76,'310'!$D$78</definedName>
    <definedName name="OSRRefD22x_0" localSheetId="71">'310 &amp; 491'!$D$35:$D$42,'310 &amp; 491'!$D$44:$D$48,'310 &amp; 491'!$D$50,'310 &amp; 491'!$D$52,'310 &amp; 491'!$D$54,'310 &amp; 491'!$D$56:$D$57,'310 &amp; 491'!$D$59,'310 &amp; 491'!$D$61,'310 &amp; 491'!$D$63:$D$64,'310 &amp; 491'!$D$66,'310 &amp; 491'!$D$68,'310 &amp; 491'!$D$70,'310 &amp; 491'!$D$72,'310 &amp; 491'!$D$74:$D$76,'310 &amp; 491'!$D$78,'310 &amp; 491'!$D$80:$D$83,'310 &amp; 491'!$D$85,'310 &amp; 491'!$D$87:$D$94,'310 &amp; 491'!$D$96,'310 &amp; 491'!$D$98,'310 &amp; 491'!$D$100</definedName>
    <definedName name="OSRRefD22x_0" localSheetId="54">'311'!$D$59:$D$67,'311'!$D$69:$D$75,'311'!$D$77,'311'!$D$79,'311'!$D$81,'311'!$D$83,'311'!$D$85,'311'!$D$87,'311'!$D$89,'311'!$D$91:$D$93,'311'!$D$95,'311'!$D$97:$D$98,'311'!$D$100:$D$101,'311'!$D$103</definedName>
    <definedName name="OSRRefD22x_0" localSheetId="65">'313'!$D$25:$D$32,'313'!$D$34,'313'!$D$36,'313'!$D$38,'313'!$D$40,'313'!$D$42,'313'!$D$44</definedName>
    <definedName name="OSRRefD22x_0" localSheetId="57">'315'!$D$84:$D$91,'315'!$D$93:$D$97,'315'!$D$99,'315'!$D$101:$D$102,'315'!$D$104,'315'!$D$106:$D$107,'315'!$D$109:$D$110,'315'!$D$112,'315'!$D$114:$D$115,'315'!$D$117:$D$118,'315'!$D$120,'315'!$D$122:$D$124,'315'!$D$126,'315'!$D$128</definedName>
    <definedName name="OSRRefD22x_0" localSheetId="60">'316'!$D$31:$D$38,'316'!$D$40:$D$42,'316'!$D$44,'316'!$D$46,'316'!$D$48,'316'!$D$50,'316'!$D$52:$D$53,'316'!$D$55,'316'!$D$57:$D$59,'316'!$D$61,'316'!$D$63:$D$67,'316'!$D$69,'316'!$D$71</definedName>
    <definedName name="OSRRefD22x_0" localSheetId="62">'317'!$D$53:$D$61,'317'!$D$63:$D$67,'317'!$D$69,'317'!$D$71,'317'!$D$73,'317'!$D$75:$D$76,'317'!$D$78,'317'!$D$80,'317'!$D$82:$D$84,'317'!$D$86,'317'!$D$88</definedName>
    <definedName name="OSRRefD22x_0" localSheetId="66">'321'!$D$23:$D$30,'321'!$D$32:$D$34,'321'!$D$36,'321'!$D$38,'321'!$D$40,'321'!$D$42,'321'!$D$44:$D$45,'321'!$D$47,'321'!$D$49:$D$50,'321'!$D$52:$D$56,'321'!$D$58,'321'!$D$60</definedName>
    <definedName name="OSRRefD22x_0" localSheetId="67">'322'!$D$21:$D$25,'322'!$D$27,'322'!$D$29,'322'!$D$31,'322'!$D$33:$D$34,'322'!$D$36,'322'!$D$38,'322'!$D$40</definedName>
    <definedName name="OSRRefD22x_0" localSheetId="68">'325'!$D$24:$D$31,'325'!$D$33:$D$35,'325'!$D$37,'325'!$D$39,'325'!$D$41,'325'!$D$43:$D$44,'325'!$D$46,'325'!$D$48,'325'!$D$50,'325'!$D$52:$D$53,'325'!$D$55:$D$57,'325'!$D$59:$D$62,'325'!$D$64,'325'!$D$66</definedName>
    <definedName name="OSRRefD22x_0" localSheetId="58">'326'!$D$49:$D$56,'326'!$D$58:$D$62,'326'!$D$64,'326'!$D$66,'326'!$D$68,'326'!$D$70,'326'!$D$72,'326'!$D$74,'326'!$D$76,'326'!$D$78,'326'!$D$80:$D$82,'326'!$D$84:$D$85,'326'!$D$87,'326'!$D$89:$D$92,'326'!$D$94,'326'!$D$96,'326'!$D$98</definedName>
    <definedName name="OSRRefD22x_0" localSheetId="69">'327'!$D$24</definedName>
    <definedName name="OSRRefD22x_0" localSheetId="51">'330'!$D$46:$D$49,'330'!$D$51:$D$53,'330'!$D$55,'330'!$D$57,'330'!$D$59:$D$60,'330'!$D$62:$D$63,'330'!$D$65,'330'!$D$67,'330'!$D$69:$D$70,'330'!$D$72:$D$73,'330'!$D$75:$D$78,'330'!$D$80,'330'!$D$82</definedName>
    <definedName name="OSRRefD22x_0" localSheetId="56">'331'!$D$84:$D$91,'331'!$D$93:$D$97,'331'!$D$99,'331'!$D$101,'331'!$D$103,'331'!$D$105:$D$106,'331'!$D$108,'331'!$D$110:$D$111,'331'!$D$113,'331'!$D$115:$D$116,'331'!$D$118,'331'!$D$120,'331'!$D$122:$D$124,'331'!$D$126:$D$127,'331'!$D$129:$D$130,'331'!$D$132,'331'!$D$134:$D$137,'331'!$D$139,'331'!$D$141,'331'!$D$143</definedName>
    <definedName name="OSRRefD22x_0" localSheetId="59">'332'!$D$33:$D$40,'332'!$D$42:$D$44,'332'!$D$46,'332'!$D$48,'332'!$D$50,'332'!$D$52,'332'!$D$54:$D$55,'332'!$D$57,'332'!$D$59:$D$61,'332'!$D$63,'332'!$D$65:$D$69,'332'!$D$71,'332'!$D$73</definedName>
    <definedName name="OSRRefD22x_0" localSheetId="73">'405'!$D$24:$D$31,'405'!$D$33:$D$36,'405'!$D$38,'405'!$D$40,'405'!$D$42,'405'!$D$44:$D$45,'405'!$D$47,'405'!$D$49,'405'!$D$51,'405'!$D$53,'405'!$D$55:$D$56,'405'!$D$58:$D$61,'405'!$D$63,'405'!$D$65:$D$71,'405'!$D$73,'405'!$D$75</definedName>
    <definedName name="OSRRefD22x_0" localSheetId="74">'406'!$D$20,'406'!$D$22,'406'!$D$24,'406'!$D$26,'406'!$D$28</definedName>
    <definedName name="OSRRefD22x_0" localSheetId="75">'411'!$D$20:$D$27,'411'!$D$29:$D$33,'411'!$D$35,'411'!$D$37:$D$38,'411'!$D$40,'411'!$D$42,'411'!$D$44,'411'!$D$46,'411'!$D$48,'411'!$D$50:$D$52,'411'!$D$54:$D$56,'411'!$D$58:$D$59,'411'!$D$61,'411'!$D$63,'411'!$D$65</definedName>
    <definedName name="OSRRefD22x_0" localSheetId="76">'412'!$D$20,'412'!$D$22,'412'!$D$24,'412'!$D$26,'412'!$D$28</definedName>
    <definedName name="OSRRefD22x_0" localSheetId="77">'413'!$D$20:$D$24,'413'!$D$26,'413'!$D$28,'413'!$D$30,'413'!$D$32,'413'!$D$34</definedName>
    <definedName name="OSRRefD22x_0" localSheetId="78">'414'!$D$21,'414'!$D$23,'414'!$D$25,'414'!$D$27,'414'!$D$29:$D$30</definedName>
    <definedName name="OSRRefD22x_0" localSheetId="79">'415'!$D$24:$D$31,'415'!$D$33:$D$36,'415'!$D$38,'415'!$D$40,'415'!$D$42,'415'!$D$44:$D$45,'415'!$D$47,'415'!$D$49,'415'!$D$51,'415'!$D$53,'415'!$D$55:$D$56,'415'!$D$58:$D$61,'415'!$D$63,'415'!$D$65:$D$70,'415'!$D$72,'415'!$D$74</definedName>
    <definedName name="OSRRefD22x_0" localSheetId="80">'418'!$D$21:$D$28,'418'!$D$30:$D$33,'418'!$D$35,'418'!$D$37,'418'!$D$39:$D$40,'418'!$D$42,'418'!$D$44,'418'!$D$46,'418'!$D$48:$D$49,'418'!$D$51,'418'!$D$53,'418'!$D$55:$D$59,'418'!$D$61</definedName>
    <definedName name="OSRRefD22x_0" localSheetId="82">'423'!$D$20:$D$21,'423'!$D$23,'423'!$D$25,'423'!$D$27</definedName>
    <definedName name="OSRRefD22x_0" localSheetId="83">'424'!$D$20,'424'!$D$22,'424'!$D$24,'424'!$D$26</definedName>
    <definedName name="OSRRefD22x_0" localSheetId="84">'425'!$D$22:$D$26,'425'!$D$28,'425'!$D$30,'425'!$D$32,'425'!$D$34,'425'!$D$36,'425'!$D$38,'425'!$D$40,'425'!$D$42</definedName>
    <definedName name="OSRRefD22x_0" localSheetId="87">'430'!$D$20:$D$27,'430'!$D$29,'430'!$D$31,'430'!$D$33,'430'!$D$35,'430'!$D$37:$D$38,'430'!$D$40,'430'!$D$42</definedName>
    <definedName name="OSRRefD22x_0" localSheetId="88">'433'!$D$25:$D$33,'433'!$D$35:$D$39,'433'!$D$41,'433'!$D$43,'433'!$D$45,'433'!$D$47,'433'!$D$49,'433'!$D$51,'433'!$D$53,'433'!$D$55,'433'!$D$57:$D$58,'433'!$D$60:$D$62,'433'!$D$64:$D$71,'433'!$D$73</definedName>
    <definedName name="OSRRefD22x_0" localSheetId="89">'435'!$D$20</definedName>
    <definedName name="OSRRefD22x_0" localSheetId="90">'444'!$D$25:$D$33,'444'!$D$35:$D$39,'444'!$D$41,'444'!$D$43,'444'!$D$45,'444'!$D$47,'444'!$D$49,'444'!$D$51,'444'!$D$53,'444'!$D$55,'444'!$D$57:$D$58,'444'!$D$60:$D$62,'444'!$D$64:$D$70,'444'!$D$72,'444'!$D$74</definedName>
    <definedName name="OSRRefD22x_0" localSheetId="91">'450'!$D$25:$D$33,'450'!$D$35:$D$39,'450'!$D$41,'450'!$D$43,'450'!$D$45,'450'!$D$47,'450'!$D$49,'450'!$D$51,'450'!$D$53,'450'!$D$55,'450'!$D$57,'450'!$D$59,'450'!$D$61:$D$62,'450'!$D$64:$D$66,'450'!$D$68:$D$73,'450'!$D$75,'450'!$D$77</definedName>
    <definedName name="OSRRefD22x_0" localSheetId="72">'491'!$D$27:$D$34,'491'!$D$36:$D$40,'491'!$D$42,'491'!$D$44,'491'!$D$46,'491'!$D$48:$D$49,'491'!$D$51,'491'!$D$53,'491'!$D$55,'491'!$D$57,'491'!$D$59,'491'!$D$61,'491'!$D$63,'491'!$D$65:$D$67,'491'!$D$69,'491'!$D$71:$D$74,'491'!$D$76,'491'!$D$78:$D$85,'491'!$D$87,'491'!$D$89,'491'!$D$91</definedName>
    <definedName name="OSRRefD22x_0" localSheetId="86">'492'!$D$25:$D$33,'492'!$D$35:$D$40,'492'!$D$42,'492'!$D$44,'492'!$D$46,'492'!$D$48,'492'!$D$50,'492'!$D$52,'492'!$D$54,'492'!$D$56,'492'!$D$58,'492'!$D$60,'492'!$D$62:$D$64,'492'!$D$66:$D$68,'492'!$D$70:$D$77,'492'!$D$79,'492'!$D$81,'492'!$D$83:$D$84</definedName>
    <definedName name="OSRRefD22x_0" localSheetId="93">'501'!$D$21:$D$29,'501'!$D$31:$D$36,'501'!$D$38,'501'!$D$40,'501'!$D$42:$D$43,'501'!$D$45,'501'!$D$47,'501'!$D$49:$D$50,'501'!$D$52:$D$53,'501'!$D$55,'501'!$D$57</definedName>
    <definedName name="OSRRefD22x_0" localSheetId="39">'Div 2'!$D$20:$D$29,'Div 2'!$D$31:$D$36,'Div 2'!$D$38,'Div 2'!$D$40,'Div 2'!$D$42,'Div 2'!$D$44,'Div 2'!$D$46,'Div 2'!$D$48,'Div 2'!$D$50,'Div 2'!$D$52:$D$53,'Div 2'!$D$55,'Div 2'!$D$57,'Div 2'!$D$59:$D$61,'Div 2'!$D$63:$D$66,'Div 2'!$D$68,'Div 2'!$D$70,'Div 2'!$D$72:$D$76,'Div 2'!$D$78:$D$79,'Div 2'!$D$81,'Div 2'!$D$83</definedName>
    <definedName name="OSRRefD22x_0" localSheetId="47">'Div 3'!$D$126:$D$135,'Div 3'!$D$137:$D$143,'Div 3'!$D$145,'Div 3'!$D$147,'Div 3'!$D$149,'Div 3'!$D$151:$D$152,'Div 3'!$D$154:$D$155,'Div 3'!$D$157,'Div 3'!$D$159,'Div 3'!$D$161,'Div 3'!$D$163:$D$164,'Div 3'!$D$166,'Div 3'!$D$168,'Div 3'!$D$170,'Div 3'!$D$172:$D$173,'Div 3'!$D$175,'Div 3'!$D$177,'Div 3'!$D$179:$D$182,'Div 3'!$D$184:$D$186,'Div 3'!$D$188:$D$192,'Div 3'!$D$194:$D$195,'Div 3'!$D$197:$D$203,'Div 3'!$D$205:$D$206,'Div 3'!$D$208,'Div 3'!$D$210:$D$212,'Div 3'!$D$214</definedName>
    <definedName name="OSRRefD22x_0" localSheetId="70">'Div 4'!$D$28:$D$36,'Div 4'!$D$38:$D$43,'Div 4'!$D$45,'Div 4'!$D$47,'Div 4'!$D$49,'Div 4'!$D$51:$D$52,'Div 4'!$D$54,'Div 4'!$D$56,'Div 4'!$D$58,'Div 4'!$D$60,'Div 4'!$D$62,'Div 4'!$D$64,'Div 4'!$D$66,'Div 4'!$D$68,'Div 4'!$D$70,'Div 4'!$D$72:$D$74,'Div 4'!$D$76,'Div 4'!$D$78:$D$81,'Div 4'!$D$83,'Div 4'!$D$85:$D$93,'Div 4'!$D$95,'Div 4'!$D$97,'Div 4'!$D$99:$D$100,'Div 4'!$D$102</definedName>
    <definedName name="OSRRefD22x_0" localSheetId="92">'Div 5'!$D$21:$D$29,'Div 5'!$D$31:$D$36,'Div 5'!$D$38,'Div 5'!$D$40,'Div 5'!$D$42:$D$43,'Div 5'!$D$45,'Div 5'!$D$47,'Div 5'!$D$49:$D$50,'Div 5'!$D$52:$D$53,'Div 5'!$D$55,'Div 5'!$D$57</definedName>
    <definedName name="OSRRefD22x_0" localSheetId="61">'Div 6'!$D$53:$D$61,'Div 6'!$D$63:$D$67,'Div 6'!$D$69,'Div 6'!$D$71,'Div 6'!$D$73,'Div 6'!$D$75:$D$76,'Div 6'!$D$78,'Div 6'!$D$80,'Div 6'!$D$82:$D$84,'Div 6'!$D$86,'Div 6'!$D$88</definedName>
    <definedName name="OSRRefD22x_0" localSheetId="2">Summary!$D$152:$D$161,Summary!$D$163:$D$169,Summary!$D$171,Summary!$D$173,Summary!$D$175,Summary!$D$177:$D$178,Summary!$D$180:$D$181,Summary!$D$183,Summary!$D$185,Summary!$D$187,Summary!$D$189:$D$190,Summary!$D$192,Summary!$D$194,Summary!$D$196,Summary!$D$198:$D$199,Summary!$D$201,Summary!$D$203,Summary!$D$205,Summary!$D$207:$D$210,Summary!$D$212:$D$214,Summary!$D$216:$D$220,Summary!$D$222:$D$223,Summary!$D$225:$D$233,Summary!$D$235:$D$236,Summary!$D$238,Summary!$D$240:$D$242,Summary!$D$244</definedName>
    <definedName name="OSRRefD25x_0" localSheetId="48">'300'!$D$209:$D$212</definedName>
    <definedName name="OSRRefD25x_0" localSheetId="49">'300 &amp; 317'!$D$231:$D$236</definedName>
    <definedName name="OSRRefD25x_0" localSheetId="50">'301'!$D$95</definedName>
    <definedName name="OSRRefD25x_0" localSheetId="53">'308'!$D$106:$D$108</definedName>
    <definedName name="OSRRefD25x_0" localSheetId="71">'310 &amp; 491'!$D$103:$D$105</definedName>
    <definedName name="OSRRefD25x_0" localSheetId="54">'311'!$D$106:$D$108</definedName>
    <definedName name="OSRRefD25x_0" localSheetId="57">'315'!$D$131:$D$132</definedName>
    <definedName name="OSRRefD25x_0" localSheetId="60">'316'!$D$74</definedName>
    <definedName name="OSRRefD25x_0" localSheetId="62">'317'!$D$91:$D$93</definedName>
    <definedName name="OSRRefD25x_0" localSheetId="56">'331'!$D$146:$D$147</definedName>
    <definedName name="OSRRefD25x_0" localSheetId="59">'332'!$D$76:$D$77</definedName>
    <definedName name="OSRRefD25x_0" localSheetId="75">'411'!$D$68:$D$69</definedName>
    <definedName name="OSRRefD25x_0" localSheetId="79">'415'!$D$77</definedName>
    <definedName name="OSRRefD25x_0" localSheetId="80">'418'!$D$64</definedName>
    <definedName name="OSRRefD25x_0" localSheetId="82">'423'!$D$30</definedName>
    <definedName name="OSRRefD25x_0" localSheetId="85">'455'!$D$21:$D$22</definedName>
    <definedName name="OSRRefD25x_0" localSheetId="72">'491'!$D$94:$D$96</definedName>
    <definedName name="OSRRefD25x_0" localSheetId="93">'501'!$D$60</definedName>
    <definedName name="OSRRefD25x_0" localSheetId="47">'Div 3'!$D$217:$D$220</definedName>
    <definedName name="OSRRefD25x_0" localSheetId="70">'Div 4'!$D$105:$D$107</definedName>
    <definedName name="OSRRefD25x_0" localSheetId="92">'Div 5'!$D$60</definedName>
    <definedName name="OSRRefD25x_0" localSheetId="61">'Div 6'!$D$91:$D$93</definedName>
    <definedName name="OSRRefD25x_0" localSheetId="2">Summary!$D$247:$D$254</definedName>
    <definedName name="OSRRefH13x_0" localSheetId="48">'300'!$H$13:$H$76</definedName>
    <definedName name="OSRRefH13x_0" localSheetId="49">'300 &amp; 317'!$H$13:$H$90</definedName>
    <definedName name="OSRRefH13x_0" localSheetId="52">'307'!$H$13:$H$25</definedName>
    <definedName name="OSRRefH13x_0" localSheetId="53">'308'!$H$13:$H$36</definedName>
    <definedName name="OSRRefH13x_0" localSheetId="63">'310'!$H$13:$H$21</definedName>
    <definedName name="OSRRefH13x_0" localSheetId="71">'310 &amp; 491'!$H$13:$H$25</definedName>
    <definedName name="OSRRefH13x_0" localSheetId="54">'311'!$H$13:$H$36</definedName>
    <definedName name="OSRRefH13x_0" localSheetId="65">'313'!$H$13:$H$16</definedName>
    <definedName name="OSRRefH13x_0" localSheetId="57">'315'!$H$13:$H$52</definedName>
    <definedName name="OSRRefH13x_0" localSheetId="60">'316'!$H$13:$H$23</definedName>
    <definedName name="OSRRefH13x_0" localSheetId="62">'317'!$H$13:$H$33</definedName>
    <definedName name="OSRRefH13x_0" localSheetId="66">'321'!$H$13:$H$14</definedName>
    <definedName name="OSRRefH13x_0" localSheetId="55">'324'!$H$13:$H$16</definedName>
    <definedName name="OSRRefH13x_0" localSheetId="68">'325'!$H$13:$H$14</definedName>
    <definedName name="OSRRefH13x_0" localSheetId="58">'326'!$H$13:$H$34</definedName>
    <definedName name="OSRRefH13x_0" localSheetId="69">'327'!$H$13:$H$14</definedName>
    <definedName name="OSRRefH13x_0" localSheetId="51">'330'!$H$13:$H$28</definedName>
    <definedName name="OSRRefH13x_0" localSheetId="56">'331'!$H$13:$H$52</definedName>
    <definedName name="OSRRefH13x_0" localSheetId="59">'332'!$H$13:$H$23</definedName>
    <definedName name="OSRRefH13x_0" localSheetId="73">'405'!$H$13:$H$14</definedName>
    <definedName name="OSRRefH13x_0" localSheetId="78">'414'!$H$13</definedName>
    <definedName name="OSRRefH13x_0" localSheetId="79">'415'!$H$13:$H$14</definedName>
    <definedName name="OSRRefH13x_0" localSheetId="81">'420'!$H$13</definedName>
    <definedName name="OSRRefH13x_0" localSheetId="84">'425'!$H$13</definedName>
    <definedName name="OSRRefH13x_0" localSheetId="88">'433'!$H$13:$H$15</definedName>
    <definedName name="OSRRefH13x_0" localSheetId="90">'444'!$H$13:$H$15</definedName>
    <definedName name="OSRRefH13x_0" localSheetId="91">'450'!$H$13:$H$15</definedName>
    <definedName name="OSRRefH13x_0" localSheetId="72">'491'!$H$13:$H$17</definedName>
    <definedName name="OSRRefH13x_0" localSheetId="86">'492'!$H$13:$H$15</definedName>
    <definedName name="OSRRefH13x_0" localSheetId="93">'501'!$H$13</definedName>
    <definedName name="OSRRefH13x_0" localSheetId="47">'Div 3'!$H$13:$H$79</definedName>
    <definedName name="OSRRefH13x_0" localSheetId="70">'Div 4'!$H$13:$H$18</definedName>
    <definedName name="OSRRefH13x_0" localSheetId="92">'Div 5'!$H$13</definedName>
    <definedName name="OSRRefH13x_0" localSheetId="61">'Div 6'!$H$13:$H$33</definedName>
    <definedName name="OSRRefH13x_0" localSheetId="2">Summary!$H$13:$H$97</definedName>
    <definedName name="OSRRefH16x_0" localSheetId="48">'300'!$H$79:$H$115</definedName>
    <definedName name="OSRRefH16x_0" localSheetId="49">'300 &amp; 317'!$H$93:$H$137</definedName>
    <definedName name="OSRRefH16x_0" localSheetId="50">'301'!$H$15</definedName>
    <definedName name="OSRRefH16x_0" localSheetId="52">'307'!$H$28:$H$37</definedName>
    <definedName name="OSRRefH16x_0" localSheetId="53">'308'!$H$39:$H$53</definedName>
    <definedName name="OSRRefH16x_0" localSheetId="63">'310'!$H$24:$H$25</definedName>
    <definedName name="OSRRefH16x_0" localSheetId="71">'310 &amp; 491'!$H$28:$H$29</definedName>
    <definedName name="OSRRefH16x_0" localSheetId="54">'311'!$H$39:$H$53</definedName>
    <definedName name="OSRRefH16x_0" localSheetId="65">'313'!$H$19</definedName>
    <definedName name="OSRRefH16x_0" localSheetId="57">'315'!$H$55:$H$78</definedName>
    <definedName name="OSRRefH16x_0" localSheetId="62">'317'!$H$36:$H$47</definedName>
    <definedName name="OSRRefH16x_0" localSheetId="66">'321'!$H$17</definedName>
    <definedName name="OSRRefH16x_0" localSheetId="67">'322'!$H$15</definedName>
    <definedName name="OSRRefH16x_0" localSheetId="55">'324'!$H$19:$H$21</definedName>
    <definedName name="OSRRefH16x_0" localSheetId="68">'325'!$H$17:$H$18</definedName>
    <definedName name="OSRRefH16x_0" localSheetId="58">'326'!$H$37:$H$43</definedName>
    <definedName name="OSRRefH16x_0" localSheetId="69">'327'!$H$17:$H$18</definedName>
    <definedName name="OSRRefH16x_0" localSheetId="51">'330'!$H$31:$H$40</definedName>
    <definedName name="OSRRefH16x_0" localSheetId="56">'331'!$H$55:$H$78</definedName>
    <definedName name="OSRRefH16x_0" localSheetId="59">'332'!$H$26:$H$27</definedName>
    <definedName name="OSRRefH16x_0" localSheetId="73">'405'!$H$17:$H$18</definedName>
    <definedName name="OSRRefH16x_0" localSheetId="79">'415'!$H$17:$H$18</definedName>
    <definedName name="OSRRefH16x_0" localSheetId="80">'418'!$H$15</definedName>
    <definedName name="OSRRefH16x_0" localSheetId="84">'425'!$H$16</definedName>
    <definedName name="OSRRefH16x_0" localSheetId="88">'433'!$H$18:$H$19</definedName>
    <definedName name="OSRRefH16x_0" localSheetId="90">'444'!$H$18:$H$19</definedName>
    <definedName name="OSRRefH16x_0" localSheetId="91">'450'!$H$18:$H$19</definedName>
    <definedName name="OSRRefH16x_0" localSheetId="72">'491'!$H$20:$H$21</definedName>
    <definedName name="OSRRefH16x_0" localSheetId="86">'492'!$H$18:$H$19</definedName>
    <definedName name="OSRRefH16x_0" localSheetId="47">'Div 3'!$H$82:$H$120</definedName>
    <definedName name="OSRRefH16x_0" localSheetId="70">'Div 4'!$H$21:$H$22</definedName>
    <definedName name="OSRRefH16x_0" localSheetId="61">'Div 6'!$H$36:$H$47</definedName>
    <definedName name="OSRRefH16x_0" localSheetId="2">Summary!$H$100:$H$146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'300'!$H$121:$H$130</definedName>
    <definedName name="OSRRefH22_0x_0" localSheetId="49">'300 &amp; 317'!$H$143:$H$152</definedName>
    <definedName name="OSRRefH22_0x_0" localSheetId="50">'301'!$H$21:$H$30</definedName>
    <definedName name="OSRRefH22_0x_0" localSheetId="52">'307'!$H$43:$H$45</definedName>
    <definedName name="OSRRefH22_0x_0" localSheetId="53">'308'!$H$59:$H$67</definedName>
    <definedName name="OSRRefH22_0x_0" localSheetId="64">'309'!$H$20</definedName>
    <definedName name="OSRRefH22_0x_0" localSheetId="63">'310'!$H$31:$H$38</definedName>
    <definedName name="OSRRefH22_0x_0" localSheetId="71">'310 &amp; 491'!$H$35:$H$42</definedName>
    <definedName name="OSRRefH22_0x_0" localSheetId="54">'311'!$H$59:$H$67</definedName>
    <definedName name="OSRRefH22_0x_0" localSheetId="65">'313'!$H$25:$H$32</definedName>
    <definedName name="OSRRefH22_0x_0" localSheetId="57">'315'!$H$84:$H$91</definedName>
    <definedName name="OSRRefH22_0x_0" localSheetId="60">'316'!$H$31:$H$38</definedName>
    <definedName name="OSRRefH22_0x_0" localSheetId="62">'317'!$H$53:$H$61</definedName>
    <definedName name="OSRRefH22_0x_0" localSheetId="66">'321'!$H$23:$H$30</definedName>
    <definedName name="OSRRefH22_0x_0" localSheetId="67">'322'!$H$21:$H$25</definedName>
    <definedName name="OSRRefH22_0x_0" localSheetId="68">'325'!$H$24:$H$31</definedName>
    <definedName name="OSRRefH22_0x_0" localSheetId="58">'326'!$H$49:$H$56</definedName>
    <definedName name="OSRRefH22_0x_0" localSheetId="69">'327'!$H$24</definedName>
    <definedName name="OSRRefH22_0x_0" localSheetId="51">'330'!$H$46:$H$49</definedName>
    <definedName name="OSRRefH22_0x_0" localSheetId="56">'331'!$H$84:$H$91</definedName>
    <definedName name="OSRRefH22_0x_0" localSheetId="59">'332'!$H$33:$H$40</definedName>
    <definedName name="OSRRefH22_0x_0" localSheetId="73">'405'!$H$24:$H$31</definedName>
    <definedName name="OSRRefH22_0x_0" localSheetId="74">'406'!$H$20</definedName>
    <definedName name="OSRRefH22_0x_0" localSheetId="75">'411'!$H$20:$H$27</definedName>
    <definedName name="OSRRefH22_0x_0" localSheetId="76">'412'!$H$20</definedName>
    <definedName name="OSRRefH22_0x_0" localSheetId="77">'413'!$H$20:$H$24</definedName>
    <definedName name="OSRRefH22_0x_0" localSheetId="78">'414'!$H$21</definedName>
    <definedName name="OSRRefH22_0x_0" localSheetId="79">'415'!$H$24:$H$31</definedName>
    <definedName name="OSRRefH22_0x_0" localSheetId="80">'418'!$H$21:$H$28</definedName>
    <definedName name="OSRRefH22_0x_0" localSheetId="82">'423'!$H$20:$H$21</definedName>
    <definedName name="OSRRefH22_0x_0" localSheetId="83">'424'!$H$20</definedName>
    <definedName name="OSRRefH22_0x_0" localSheetId="84">'425'!$H$22:$H$26</definedName>
    <definedName name="OSRRefH22_0x_0" localSheetId="87">'430'!$H$20:$H$27</definedName>
    <definedName name="OSRRefH22_0x_0" localSheetId="88">'433'!$H$25:$H$33</definedName>
    <definedName name="OSRRefH22_0x_0" localSheetId="89">'435'!$H$20</definedName>
    <definedName name="OSRRefH22_0x_0" localSheetId="90">'444'!$H$25:$H$33</definedName>
    <definedName name="OSRRefH22_0x_0" localSheetId="91">'450'!$H$25:$H$33</definedName>
    <definedName name="OSRRefH22_0x_0" localSheetId="72">'491'!$H$27:$H$34</definedName>
    <definedName name="OSRRefH22_0x_0" localSheetId="86">'492'!$H$25:$H$33</definedName>
    <definedName name="OSRRefH22_0x_0" localSheetId="93">'501'!$H$21:$H$29</definedName>
    <definedName name="OSRRefH22_0x_0" localSheetId="39">'Div 2'!$H$20:$H$29</definedName>
    <definedName name="OSRRefH22_0x_0" localSheetId="47">'Div 3'!$H$126:$H$135</definedName>
    <definedName name="OSRRefH22_0x_0" localSheetId="70">'Div 4'!$H$28:$H$36</definedName>
    <definedName name="OSRRefH22_0x_0" localSheetId="92">'Div 5'!$H$21:$H$29</definedName>
    <definedName name="OSRRefH22_0x_0" localSheetId="61">'Div 6'!$H$53:$H$61</definedName>
    <definedName name="OSRRefH22_0x_0" localSheetId="2">Summary!$H$152:$H$161</definedName>
    <definedName name="OSRRefH22_10x_0" localSheetId="41">'201'!$H$51</definedName>
    <definedName name="OSRRefH22_10x_0" localSheetId="42">'202'!$H$53</definedName>
    <definedName name="OSRRefH22_10x_0" localSheetId="43">'203'!$H$53:$H$56</definedName>
    <definedName name="OSRRefH22_10x_0" localSheetId="48">'300'!$H$158:$H$159</definedName>
    <definedName name="OSRRefH22_10x_0" localSheetId="49">'300 &amp; 317'!$H$180:$H$181</definedName>
    <definedName name="OSRRefH22_10x_0" localSheetId="50">'301'!$H$57</definedName>
    <definedName name="OSRRefH22_10x_0" localSheetId="52">'307'!$H$70:$H$73</definedName>
    <definedName name="OSRRefH22_10x_0" localSheetId="53">'308'!$H$95</definedName>
    <definedName name="OSRRefH22_10x_0" localSheetId="63">'310'!$H$61:$H$62</definedName>
    <definedName name="OSRRefH22_10x_0" localSheetId="71">'310 &amp; 491'!$H$68</definedName>
    <definedName name="OSRRefH22_10x_0" localSheetId="54">'311'!$H$95</definedName>
    <definedName name="OSRRefH22_10x_0" localSheetId="57">'315'!$H$120</definedName>
    <definedName name="OSRRefH22_10x_0" localSheetId="60">'316'!$H$63:$H$67</definedName>
    <definedName name="OSRRefH22_10x_0" localSheetId="62">'317'!$H$88</definedName>
    <definedName name="OSRRefH22_10x_0" localSheetId="66">'321'!$H$58</definedName>
    <definedName name="OSRRefH22_10x_0" localSheetId="68">'325'!$H$55:$H$57</definedName>
    <definedName name="OSRRefH22_10x_0" localSheetId="58">'326'!$H$80:$H$82</definedName>
    <definedName name="OSRRefH22_10x_0" localSheetId="51">'330'!$H$75:$H$78</definedName>
    <definedName name="OSRRefH22_10x_0" localSheetId="56">'331'!$H$118</definedName>
    <definedName name="OSRRefH22_10x_0" localSheetId="59">'332'!$H$65:$H$69</definedName>
    <definedName name="OSRRefH22_10x_0" localSheetId="73">'405'!$H$55:$H$56</definedName>
    <definedName name="OSRRefH22_10x_0" localSheetId="75">'411'!$H$54:$H$56</definedName>
    <definedName name="OSRRefH22_10x_0" localSheetId="79">'415'!$H$55:$H$56</definedName>
    <definedName name="OSRRefH22_10x_0" localSheetId="80">'418'!$H$53</definedName>
    <definedName name="OSRRefH22_10x_0" localSheetId="88">'433'!$H$57:$H$58</definedName>
    <definedName name="OSRRefH22_10x_0" localSheetId="90">'444'!$H$57:$H$58</definedName>
    <definedName name="OSRRefH22_10x_0" localSheetId="91">'450'!$H$57</definedName>
    <definedName name="OSRRefH22_10x_0" localSheetId="72">'491'!$H$59</definedName>
    <definedName name="OSRRefH22_10x_0" localSheetId="86">'492'!$H$58</definedName>
    <definedName name="OSRRefH22_10x_0" localSheetId="93">'501'!$H$57</definedName>
    <definedName name="OSRRefH22_10x_0" localSheetId="39">'Div 2'!$H$55</definedName>
    <definedName name="OSRRefH22_10x_0" localSheetId="47">'Div 3'!$H$163:$H$164</definedName>
    <definedName name="OSRRefH22_10x_0" localSheetId="70">'Div 4'!$H$62</definedName>
    <definedName name="OSRRefH22_10x_0" localSheetId="92">'Div 5'!$H$57</definedName>
    <definedName name="OSRRefH22_10x_0" localSheetId="61">'Div 6'!$H$88</definedName>
    <definedName name="OSRRefH22_10x_0" localSheetId="2">Summary!$H$189:$H$190</definedName>
    <definedName name="OSRRefH22_11x_0" localSheetId="41">'201'!$H$53:$H$54</definedName>
    <definedName name="OSRRefH22_11x_0" localSheetId="42">'202'!$H$55</definedName>
    <definedName name="OSRRefH22_11x_0" localSheetId="43">'203'!$H$58</definedName>
    <definedName name="OSRRefH22_11x_0" localSheetId="48">'300'!$H$161</definedName>
    <definedName name="OSRRefH22_11x_0" localSheetId="49">'300 &amp; 317'!$H$183</definedName>
    <definedName name="OSRRefH22_11x_0" localSheetId="50">'301'!$H$59</definedName>
    <definedName name="OSRRefH22_11x_0" localSheetId="52">'307'!$H$75</definedName>
    <definedName name="OSRRefH22_11x_0" localSheetId="53">'308'!$H$97:$H$98</definedName>
    <definedName name="OSRRefH22_11x_0" localSheetId="63">'310'!$H$64</definedName>
    <definedName name="OSRRefH22_11x_0" localSheetId="71">'310 &amp; 491'!$H$70</definedName>
    <definedName name="OSRRefH22_11x_0" localSheetId="54">'311'!$H$97:$H$98</definedName>
    <definedName name="OSRRefH22_11x_0" localSheetId="57">'315'!$H$122:$H$124</definedName>
    <definedName name="OSRRefH22_11x_0" localSheetId="60">'316'!$H$69</definedName>
    <definedName name="OSRRefH22_11x_0" localSheetId="66">'321'!$H$60</definedName>
    <definedName name="OSRRefH22_11x_0" localSheetId="68">'325'!$H$59:$H$62</definedName>
    <definedName name="OSRRefH22_11x_0" localSheetId="58">'326'!$H$84:$H$85</definedName>
    <definedName name="OSRRefH22_11x_0" localSheetId="51">'330'!$H$80</definedName>
    <definedName name="OSRRefH22_11x_0" localSheetId="56">'331'!$H$120</definedName>
    <definedName name="OSRRefH22_11x_0" localSheetId="59">'332'!$H$71</definedName>
    <definedName name="OSRRefH22_11x_0" localSheetId="73">'405'!$H$58:$H$61</definedName>
    <definedName name="OSRRefH22_11x_0" localSheetId="75">'411'!$H$58:$H$59</definedName>
    <definedName name="OSRRefH22_11x_0" localSheetId="79">'415'!$H$58:$H$61</definedName>
    <definedName name="OSRRefH22_11x_0" localSheetId="80">'418'!$H$55:$H$59</definedName>
    <definedName name="OSRRefH22_11x_0" localSheetId="88">'433'!$H$60:$H$62</definedName>
    <definedName name="OSRRefH22_11x_0" localSheetId="90">'444'!$H$60:$H$62</definedName>
    <definedName name="OSRRefH22_11x_0" localSheetId="91">'450'!$H$59</definedName>
    <definedName name="OSRRefH22_11x_0" localSheetId="72">'491'!$H$61</definedName>
    <definedName name="OSRRefH22_11x_0" localSheetId="86">'492'!$H$60</definedName>
    <definedName name="OSRRefH22_11x_0" localSheetId="39">'Div 2'!$H$57</definedName>
    <definedName name="OSRRefH22_11x_0" localSheetId="47">'Div 3'!$H$166</definedName>
    <definedName name="OSRRefH22_11x_0" localSheetId="70">'Div 4'!$H$64</definedName>
    <definedName name="OSRRefH22_11x_0" localSheetId="2">Summary!$H$192</definedName>
    <definedName name="OSRRefH22_12x_0" localSheetId="41">'201'!$H$56</definedName>
    <definedName name="OSRRefH22_12x_0" localSheetId="43">'203'!$H$60</definedName>
    <definedName name="OSRRefH22_12x_0" localSheetId="48">'300'!$H$163</definedName>
    <definedName name="OSRRefH22_12x_0" localSheetId="49">'300 &amp; 317'!$H$185</definedName>
    <definedName name="OSRRefH22_12x_0" localSheetId="50">'301'!$H$61</definedName>
    <definedName name="OSRRefH22_12x_0" localSheetId="52">'307'!$H$77</definedName>
    <definedName name="OSRRefH22_12x_0" localSheetId="53">'308'!$H$100:$H$101</definedName>
    <definedName name="OSRRefH22_12x_0" localSheetId="63">'310'!$H$66:$H$68</definedName>
    <definedName name="OSRRefH22_12x_0" localSheetId="71">'310 &amp; 491'!$H$72</definedName>
    <definedName name="OSRRefH22_12x_0" localSheetId="54">'311'!$H$100:$H$101</definedName>
    <definedName name="OSRRefH22_12x_0" localSheetId="57">'315'!$H$126</definedName>
    <definedName name="OSRRefH22_12x_0" localSheetId="60">'316'!$H$71</definedName>
    <definedName name="OSRRefH22_12x_0" localSheetId="68">'325'!$H$64</definedName>
    <definedName name="OSRRefH22_12x_0" localSheetId="58">'326'!$H$87</definedName>
    <definedName name="OSRRefH22_12x_0" localSheetId="51">'330'!$H$82</definedName>
    <definedName name="OSRRefH22_12x_0" localSheetId="56">'331'!$H$122:$H$124</definedName>
    <definedName name="OSRRefH22_12x_0" localSheetId="59">'332'!$H$73</definedName>
    <definedName name="OSRRefH22_12x_0" localSheetId="73">'405'!$H$63</definedName>
    <definedName name="OSRRefH22_12x_0" localSheetId="75">'411'!$H$61</definedName>
    <definedName name="OSRRefH22_12x_0" localSheetId="79">'415'!$H$63</definedName>
    <definedName name="OSRRefH22_12x_0" localSheetId="80">'418'!$H$61</definedName>
    <definedName name="OSRRefH22_12x_0" localSheetId="88">'433'!$H$64:$H$71</definedName>
    <definedName name="OSRRefH22_12x_0" localSheetId="90">'444'!$H$64:$H$70</definedName>
    <definedName name="OSRRefH22_12x_0" localSheetId="91">'450'!$H$61:$H$62</definedName>
    <definedName name="OSRRefH22_12x_0" localSheetId="72">'491'!$H$63</definedName>
    <definedName name="OSRRefH22_12x_0" localSheetId="86">'492'!$H$62:$H$64</definedName>
    <definedName name="OSRRefH22_12x_0" localSheetId="39">'Div 2'!$H$59:$H$61</definedName>
    <definedName name="OSRRefH22_12x_0" localSheetId="47">'Div 3'!$H$168</definedName>
    <definedName name="OSRRefH22_12x_0" localSheetId="70">'Div 4'!$H$66</definedName>
    <definedName name="OSRRefH22_12x_0" localSheetId="2">Summary!$H$194</definedName>
    <definedName name="OSRRefH22_13x_0" localSheetId="48">'300'!$H$165:$H$166</definedName>
    <definedName name="OSRRefH22_13x_0" localSheetId="49">'300 &amp; 317'!$H$187:$H$188</definedName>
    <definedName name="OSRRefH22_13x_0" localSheetId="50">'301'!$H$63</definedName>
    <definedName name="OSRRefH22_13x_0" localSheetId="53">'308'!$H$103</definedName>
    <definedName name="OSRRefH22_13x_0" localSheetId="63">'310'!$H$70:$H$74</definedName>
    <definedName name="OSRRefH22_13x_0" localSheetId="71">'310 &amp; 491'!$H$74:$H$76</definedName>
    <definedName name="OSRRefH22_13x_0" localSheetId="54">'311'!$H$103</definedName>
    <definedName name="OSRRefH22_13x_0" localSheetId="57">'315'!$H$128</definedName>
    <definedName name="OSRRefH22_13x_0" localSheetId="68">'325'!$H$66</definedName>
    <definedName name="OSRRefH22_13x_0" localSheetId="58">'326'!$H$89:$H$92</definedName>
    <definedName name="OSRRefH22_13x_0" localSheetId="56">'331'!$H$126:$H$127</definedName>
    <definedName name="OSRRefH22_13x_0" localSheetId="73">'405'!$H$65:$H$71</definedName>
    <definedName name="OSRRefH22_13x_0" localSheetId="75">'411'!$H$63</definedName>
    <definedName name="OSRRefH22_13x_0" localSheetId="79">'415'!$H$65:$H$70</definedName>
    <definedName name="OSRRefH22_13x_0" localSheetId="88">'433'!$H$73</definedName>
    <definedName name="OSRRefH22_13x_0" localSheetId="90">'444'!$H$72</definedName>
    <definedName name="OSRRefH22_13x_0" localSheetId="91">'450'!$H$64:$H$66</definedName>
    <definedName name="OSRRefH22_13x_0" localSheetId="72">'491'!$H$65:$H$67</definedName>
    <definedName name="OSRRefH22_13x_0" localSheetId="86">'492'!$H$66:$H$68</definedName>
    <definedName name="OSRRefH22_13x_0" localSheetId="39">'Div 2'!$H$63:$H$66</definedName>
    <definedName name="OSRRefH22_13x_0" localSheetId="47">'Div 3'!$H$170</definedName>
    <definedName name="OSRRefH22_13x_0" localSheetId="70">'Div 4'!$H$68</definedName>
    <definedName name="OSRRefH22_13x_0" localSheetId="2">Summary!$H$196</definedName>
    <definedName name="OSRRefH22_14x_0" localSheetId="48">'300'!$H$168</definedName>
    <definedName name="OSRRefH22_14x_0" localSheetId="49">'300 &amp; 317'!$H$190</definedName>
    <definedName name="OSRRefH22_14x_0" localSheetId="50">'301'!$H$65</definedName>
    <definedName name="OSRRefH22_14x_0" localSheetId="63">'310'!$H$76</definedName>
    <definedName name="OSRRefH22_14x_0" localSheetId="71">'310 &amp; 491'!$H$78</definedName>
    <definedName name="OSRRefH22_14x_0" localSheetId="58">'326'!$H$94</definedName>
    <definedName name="OSRRefH22_14x_0" localSheetId="56">'331'!$H$129:$H$130</definedName>
    <definedName name="OSRRefH22_14x_0" localSheetId="73">'405'!$H$73</definedName>
    <definedName name="OSRRefH22_14x_0" localSheetId="75">'411'!$H$65</definedName>
    <definedName name="OSRRefH22_14x_0" localSheetId="79">'415'!$H$72</definedName>
    <definedName name="OSRRefH22_14x_0" localSheetId="90">'444'!$H$74</definedName>
    <definedName name="OSRRefH22_14x_0" localSheetId="91">'450'!$H$68:$H$73</definedName>
    <definedName name="OSRRefH22_14x_0" localSheetId="72">'491'!$H$69</definedName>
    <definedName name="OSRRefH22_14x_0" localSheetId="86">'492'!$H$70:$H$77</definedName>
    <definedName name="OSRRefH22_14x_0" localSheetId="39">'Div 2'!$H$68</definedName>
    <definedName name="OSRRefH22_14x_0" localSheetId="47">'Div 3'!$H$172:$H$173</definedName>
    <definedName name="OSRRefH22_14x_0" localSheetId="70">'Div 4'!$H$70</definedName>
    <definedName name="OSRRefH22_14x_0" localSheetId="2">Summary!$H$198:$H$199</definedName>
    <definedName name="OSRRefH22_15x_0" localSheetId="48">'300'!$H$170</definedName>
    <definedName name="OSRRefH22_15x_0" localSheetId="49">'300 &amp; 317'!$H$192</definedName>
    <definedName name="OSRRefH22_15x_0" localSheetId="50">'301'!$H$67:$H$70</definedName>
    <definedName name="OSRRefH22_15x_0" localSheetId="63">'310'!$H$78</definedName>
    <definedName name="OSRRefH22_15x_0" localSheetId="71">'310 &amp; 491'!$H$80:$H$83</definedName>
    <definedName name="OSRRefH22_15x_0" localSheetId="58">'326'!$H$96</definedName>
    <definedName name="OSRRefH22_15x_0" localSheetId="56">'331'!$H$132</definedName>
    <definedName name="OSRRefH22_15x_0" localSheetId="73">'405'!$H$75</definedName>
    <definedName name="OSRRefH22_15x_0" localSheetId="79">'415'!$H$74</definedName>
    <definedName name="OSRRefH22_15x_0" localSheetId="91">'450'!$H$75</definedName>
    <definedName name="OSRRefH22_15x_0" localSheetId="72">'491'!$H$71:$H$74</definedName>
    <definedName name="OSRRefH22_15x_0" localSheetId="86">'492'!$H$79</definedName>
    <definedName name="OSRRefH22_15x_0" localSheetId="39">'Div 2'!$H$70</definedName>
    <definedName name="OSRRefH22_15x_0" localSheetId="47">'Div 3'!$H$175</definedName>
    <definedName name="OSRRefH22_15x_0" localSheetId="70">'Div 4'!$H$72:$H$74</definedName>
    <definedName name="OSRRefH22_15x_0" localSheetId="2">Summary!$H$201</definedName>
    <definedName name="OSRRefH22_16x_0" localSheetId="48">'300'!$H$172:$H$175</definedName>
    <definedName name="OSRRefH22_16x_0" localSheetId="49">'300 &amp; 317'!$H$194:$H$197</definedName>
    <definedName name="OSRRefH22_16x_0" localSheetId="50">'301'!$H$72:$H$74</definedName>
    <definedName name="OSRRefH22_16x_0" localSheetId="71">'310 &amp; 491'!$H$85</definedName>
    <definedName name="OSRRefH22_16x_0" localSheetId="58">'326'!$H$98</definedName>
    <definedName name="OSRRefH22_16x_0" localSheetId="56">'331'!$H$134:$H$137</definedName>
    <definedName name="OSRRefH22_16x_0" localSheetId="91">'450'!$H$77</definedName>
    <definedName name="OSRRefH22_16x_0" localSheetId="72">'491'!$H$76</definedName>
    <definedName name="OSRRefH22_16x_0" localSheetId="86">'492'!$H$81</definedName>
    <definedName name="OSRRefH22_16x_0" localSheetId="39">'Div 2'!$H$72:$H$76</definedName>
    <definedName name="OSRRefH22_16x_0" localSheetId="47">'Div 3'!$H$177</definedName>
    <definedName name="OSRRefH22_16x_0" localSheetId="70">'Div 4'!$H$76</definedName>
    <definedName name="OSRRefH22_16x_0" localSheetId="2">Summary!$H$203</definedName>
    <definedName name="OSRRefH22_17x_0" localSheetId="48">'300'!$H$177:$H$179</definedName>
    <definedName name="OSRRefH22_17x_0" localSheetId="49">'300 &amp; 317'!$H$199:$H$201</definedName>
    <definedName name="OSRRefH22_17x_0" localSheetId="50">'301'!$H$76</definedName>
    <definedName name="OSRRefH22_17x_0" localSheetId="71">'310 &amp; 491'!$H$87:$H$94</definedName>
    <definedName name="OSRRefH22_17x_0" localSheetId="56">'331'!$H$139</definedName>
    <definedName name="OSRRefH22_17x_0" localSheetId="72">'491'!$H$78:$H$85</definedName>
    <definedName name="OSRRefH22_17x_0" localSheetId="86">'492'!$H$83:$H$84</definedName>
    <definedName name="OSRRefH22_17x_0" localSheetId="39">'Div 2'!$H$78:$H$79</definedName>
    <definedName name="OSRRefH22_17x_0" localSheetId="47">'Div 3'!$H$179:$H$182</definedName>
    <definedName name="OSRRefH22_17x_0" localSheetId="70">'Div 4'!$H$78:$H$81</definedName>
    <definedName name="OSRRefH22_17x_0" localSheetId="2">Summary!$H$205</definedName>
    <definedName name="OSRRefH22_18x_0" localSheetId="48">'300'!$H$181:$H$184</definedName>
    <definedName name="OSRRefH22_18x_0" localSheetId="49">'300 &amp; 317'!$H$203:$H$206</definedName>
    <definedName name="OSRRefH22_18x_0" localSheetId="50">'301'!$H$78:$H$83</definedName>
    <definedName name="OSRRefH22_18x_0" localSheetId="71">'310 &amp; 491'!$H$96</definedName>
    <definedName name="OSRRefH22_18x_0" localSheetId="56">'331'!$H$141</definedName>
    <definedName name="OSRRefH22_18x_0" localSheetId="72">'491'!$H$87</definedName>
    <definedName name="OSRRefH22_18x_0" localSheetId="39">'Div 2'!$H$81</definedName>
    <definedName name="OSRRefH22_18x_0" localSheetId="47">'Div 3'!$H$184:$H$186</definedName>
    <definedName name="OSRRefH22_18x_0" localSheetId="70">'Div 4'!$H$83</definedName>
    <definedName name="OSRRefH22_18x_0" localSheetId="2">Summary!$H$207:$H$210</definedName>
    <definedName name="OSRRefH22_19x_0" localSheetId="48">'300'!$H$186:$H$187</definedName>
    <definedName name="OSRRefH22_19x_0" localSheetId="49">'300 &amp; 317'!$H$208:$H$209</definedName>
    <definedName name="OSRRefH22_19x_0" localSheetId="50">'301'!$H$85</definedName>
    <definedName name="OSRRefH22_19x_0" localSheetId="71">'310 &amp; 491'!$H$98</definedName>
    <definedName name="OSRRefH22_19x_0" localSheetId="56">'331'!$H$143</definedName>
    <definedName name="OSRRefH22_19x_0" localSheetId="72">'491'!$H$89</definedName>
    <definedName name="OSRRefH22_19x_0" localSheetId="39">'Div 2'!$H$83</definedName>
    <definedName name="OSRRefH22_19x_0" localSheetId="47">'Div 3'!$H$188:$H$192</definedName>
    <definedName name="OSRRefH22_19x_0" localSheetId="70">'Div 4'!$H$85:$H$93</definedName>
    <definedName name="OSRRefH22_19x_0" localSheetId="2">Summary!$H$212:$H$214</definedName>
    <definedName name="OSRRefH22_1x_0" localSheetId="40">'200'!$H$22</definedName>
    <definedName name="OSRRefH22_1x_0" localSheetId="41">'201'!$H$29:$H$31</definedName>
    <definedName name="OSRRefH22_1x_0" localSheetId="42">'202'!$H$29:$H$31</definedName>
    <definedName name="OSRRefH22_1x_0" localSheetId="43">'203'!$H$30:$H$33</definedName>
    <definedName name="OSRRefH22_1x_0" localSheetId="44">'204'!$H$30:$H$32</definedName>
    <definedName name="OSRRefH22_1x_0" localSheetId="45">'205'!$H$29</definedName>
    <definedName name="OSRRefH22_1x_0" localSheetId="46">'206'!$H$28:$H$30</definedName>
    <definedName name="OSRRefH22_1x_0" localSheetId="48">'300'!$H$132:$H$138</definedName>
    <definedName name="OSRRefH22_1x_0" localSheetId="49">'300 &amp; 317'!$H$154:$H$160</definedName>
    <definedName name="OSRRefH22_1x_0" localSheetId="50">'301'!$H$32:$H$38</definedName>
    <definedName name="OSRRefH22_1x_0" localSheetId="52">'307'!$H$47:$H$49</definedName>
    <definedName name="OSRRefH22_1x_0" localSheetId="53">'308'!$H$69:$H$75</definedName>
    <definedName name="OSRRefH22_1x_0" localSheetId="64">'309'!$H$22:$H$23</definedName>
    <definedName name="OSRRefH22_1x_0" localSheetId="63">'310'!$H$40:$H$42</definedName>
    <definedName name="OSRRefH22_1x_0" localSheetId="71">'310 &amp; 491'!$H$44:$H$48</definedName>
    <definedName name="OSRRefH22_1x_0" localSheetId="54">'311'!$H$69:$H$75</definedName>
    <definedName name="OSRRefH22_1x_0" localSheetId="65">'313'!$H$34</definedName>
    <definedName name="OSRRefH22_1x_0" localSheetId="57">'315'!$H$93:$H$97</definedName>
    <definedName name="OSRRefH22_1x_0" localSheetId="60">'316'!$H$40:$H$42</definedName>
    <definedName name="OSRRefH22_1x_0" localSheetId="62">'317'!$H$63:$H$67</definedName>
    <definedName name="OSRRefH22_1x_0" localSheetId="66">'321'!$H$32:$H$34</definedName>
    <definedName name="OSRRefH22_1x_0" localSheetId="67">'322'!$H$27</definedName>
    <definedName name="OSRRefH22_1x_0" localSheetId="68">'325'!$H$33:$H$35</definedName>
    <definedName name="OSRRefH22_1x_0" localSheetId="58">'326'!$H$58:$H$62</definedName>
    <definedName name="OSRRefH22_1x_0" localSheetId="51">'330'!$H$51:$H$53</definedName>
    <definedName name="OSRRefH22_1x_0" localSheetId="56">'331'!$H$93:$H$97</definedName>
    <definedName name="OSRRefH22_1x_0" localSheetId="59">'332'!$H$42:$H$44</definedName>
    <definedName name="OSRRefH22_1x_0" localSheetId="73">'405'!$H$33:$H$36</definedName>
    <definedName name="OSRRefH22_1x_0" localSheetId="74">'406'!$H$22</definedName>
    <definedName name="OSRRefH22_1x_0" localSheetId="75">'411'!$H$29:$H$33</definedName>
    <definedName name="OSRRefH22_1x_0" localSheetId="76">'412'!$H$22</definedName>
    <definedName name="OSRRefH22_1x_0" localSheetId="77">'413'!$H$26</definedName>
    <definedName name="OSRRefH22_1x_0" localSheetId="78">'414'!$H$23</definedName>
    <definedName name="OSRRefH22_1x_0" localSheetId="79">'415'!$H$33:$H$36</definedName>
    <definedName name="OSRRefH22_1x_0" localSheetId="80">'418'!$H$30:$H$33</definedName>
    <definedName name="OSRRefH22_1x_0" localSheetId="82">'423'!$H$23</definedName>
    <definedName name="OSRRefH22_1x_0" localSheetId="83">'424'!$H$22</definedName>
    <definedName name="OSRRefH22_1x_0" localSheetId="84">'425'!$H$28</definedName>
    <definedName name="OSRRefH22_1x_0" localSheetId="87">'430'!$H$29</definedName>
    <definedName name="OSRRefH22_1x_0" localSheetId="88">'433'!$H$35:$H$39</definedName>
    <definedName name="OSRRefH22_1x_0" localSheetId="90">'444'!$H$35:$H$39</definedName>
    <definedName name="OSRRefH22_1x_0" localSheetId="91">'450'!$H$35:$H$39</definedName>
    <definedName name="OSRRefH22_1x_0" localSheetId="72">'491'!$H$36:$H$40</definedName>
    <definedName name="OSRRefH22_1x_0" localSheetId="86">'492'!$H$35:$H$40</definedName>
    <definedName name="OSRRefH22_1x_0" localSheetId="93">'501'!$H$31:$H$36</definedName>
    <definedName name="OSRRefH22_1x_0" localSheetId="39">'Div 2'!$H$31:$H$36</definedName>
    <definedName name="OSRRefH22_1x_0" localSheetId="47">'Div 3'!$H$137:$H$143</definedName>
    <definedName name="OSRRefH22_1x_0" localSheetId="70">'Div 4'!$H$38:$H$43</definedName>
    <definedName name="OSRRefH22_1x_0" localSheetId="92">'Div 5'!$H$31:$H$36</definedName>
    <definedName name="OSRRefH22_1x_0" localSheetId="61">'Div 6'!$H$63:$H$67</definedName>
    <definedName name="OSRRefH22_1x_0" localSheetId="2">Summary!$H$163:$H$169</definedName>
    <definedName name="OSRRefH22_20x_0" localSheetId="48">'300'!$H$189:$H$195</definedName>
    <definedName name="OSRRefH22_20x_0" localSheetId="49">'300 &amp; 317'!$H$211:$H$217</definedName>
    <definedName name="OSRRefH22_20x_0" localSheetId="50">'301'!$H$87</definedName>
    <definedName name="OSRRefH22_20x_0" localSheetId="71">'310 &amp; 491'!$H$100</definedName>
    <definedName name="OSRRefH22_20x_0" localSheetId="72">'491'!$H$91</definedName>
    <definedName name="OSRRefH22_20x_0" localSheetId="47">'Div 3'!$H$194:$H$195</definedName>
    <definedName name="OSRRefH22_20x_0" localSheetId="70">'Div 4'!$H$95</definedName>
    <definedName name="OSRRefH22_20x_0" localSheetId="2">Summary!$H$216:$H$220</definedName>
    <definedName name="OSRRefH22_21x_0" localSheetId="48">'300'!$H$197:$H$198</definedName>
    <definedName name="OSRRefH22_21x_0" localSheetId="49">'300 &amp; 317'!$H$219:$H$220</definedName>
    <definedName name="OSRRefH22_21x_0" localSheetId="50">'301'!$H$89:$H$90</definedName>
    <definedName name="OSRRefH22_21x_0" localSheetId="47">'Div 3'!$H$197:$H$203</definedName>
    <definedName name="OSRRefH22_21x_0" localSheetId="70">'Div 4'!$H$97</definedName>
    <definedName name="OSRRefH22_21x_0" localSheetId="2">Summary!$H$222:$H$223</definedName>
    <definedName name="OSRRefH22_22x_0" localSheetId="48">'300'!$H$200</definedName>
    <definedName name="OSRRefH22_22x_0" localSheetId="49">'300 &amp; 317'!$H$222</definedName>
    <definedName name="OSRRefH22_22x_0" localSheetId="50">'301'!$H$92</definedName>
    <definedName name="OSRRefH22_22x_0" localSheetId="47">'Div 3'!$H$205:$H$206</definedName>
    <definedName name="OSRRefH22_22x_0" localSheetId="70">'Div 4'!$H$99:$H$100</definedName>
    <definedName name="OSRRefH22_22x_0" localSheetId="2">Summary!$H$225:$H$233</definedName>
    <definedName name="OSRRefH22_23x_0" localSheetId="48">'300'!$H$202:$H$204</definedName>
    <definedName name="OSRRefH22_23x_0" localSheetId="49">'300 &amp; 317'!$H$224:$H$226</definedName>
    <definedName name="OSRRefH22_23x_0" localSheetId="47">'Div 3'!$H$208</definedName>
    <definedName name="OSRRefH22_23x_0" localSheetId="70">'Div 4'!$H$102</definedName>
    <definedName name="OSRRefH22_23x_0" localSheetId="2">Summary!$H$235:$H$236</definedName>
    <definedName name="OSRRefH22_24x_0" localSheetId="48">'300'!$H$206</definedName>
    <definedName name="OSRRefH22_24x_0" localSheetId="49">'300 &amp; 317'!$H$228</definedName>
    <definedName name="OSRRefH22_24x_0" localSheetId="47">'Div 3'!$H$210:$H$212</definedName>
    <definedName name="OSRRefH22_24x_0" localSheetId="2">Summary!$H$238</definedName>
    <definedName name="OSRRefH22_25x_0" localSheetId="47">'Div 3'!$H$214</definedName>
    <definedName name="OSRRefH22_25x_0" localSheetId="2">Summary!$H$240:$H$242</definedName>
    <definedName name="OSRRefH22_26x_0" localSheetId="2">Summary!$H$244</definedName>
    <definedName name="OSRRefH22_2x_0" localSheetId="40">'200'!$H$24</definedName>
    <definedName name="OSRRefH22_2x_0" localSheetId="41">'201'!$H$33</definedName>
    <definedName name="OSRRefH22_2x_0" localSheetId="42">'202'!$H$33</definedName>
    <definedName name="OSRRefH22_2x_0" localSheetId="43">'203'!$H$35</definedName>
    <definedName name="OSRRefH22_2x_0" localSheetId="44">'204'!$H$34</definedName>
    <definedName name="OSRRefH22_2x_0" localSheetId="45">'205'!$H$31</definedName>
    <definedName name="OSRRefH22_2x_0" localSheetId="46">'206'!$H$32</definedName>
    <definedName name="OSRRefH22_2x_0" localSheetId="48">'300'!$H$140</definedName>
    <definedName name="OSRRefH22_2x_0" localSheetId="49">'300 &amp; 317'!$H$162</definedName>
    <definedName name="OSRRefH22_2x_0" localSheetId="50">'301'!$H$40</definedName>
    <definedName name="OSRRefH22_2x_0" localSheetId="52">'307'!$H$51</definedName>
    <definedName name="OSRRefH22_2x_0" localSheetId="53">'308'!$H$77</definedName>
    <definedName name="OSRRefH22_2x_0" localSheetId="64">'309'!$H$25:$H$26</definedName>
    <definedName name="OSRRefH22_2x_0" localSheetId="63">'310'!$H$44</definedName>
    <definedName name="OSRRefH22_2x_0" localSheetId="71">'310 &amp; 491'!$H$50</definedName>
    <definedName name="OSRRefH22_2x_0" localSheetId="54">'311'!$H$77</definedName>
    <definedName name="OSRRefH22_2x_0" localSheetId="65">'313'!$H$36</definedName>
    <definedName name="OSRRefH22_2x_0" localSheetId="57">'315'!$H$99</definedName>
    <definedName name="OSRRefH22_2x_0" localSheetId="60">'316'!$H$44</definedName>
    <definedName name="OSRRefH22_2x_0" localSheetId="62">'317'!$H$69</definedName>
    <definedName name="OSRRefH22_2x_0" localSheetId="66">'321'!$H$36</definedName>
    <definedName name="OSRRefH22_2x_0" localSheetId="67">'322'!$H$29</definedName>
    <definedName name="OSRRefH22_2x_0" localSheetId="68">'325'!$H$37</definedName>
    <definedName name="OSRRefH22_2x_0" localSheetId="58">'326'!$H$64</definedName>
    <definedName name="OSRRefH22_2x_0" localSheetId="51">'330'!$H$55</definedName>
    <definedName name="OSRRefH22_2x_0" localSheetId="56">'331'!$H$99</definedName>
    <definedName name="OSRRefH22_2x_0" localSheetId="59">'332'!$H$46</definedName>
    <definedName name="OSRRefH22_2x_0" localSheetId="73">'405'!$H$38</definedName>
    <definedName name="OSRRefH22_2x_0" localSheetId="74">'406'!$H$24</definedName>
    <definedName name="OSRRefH22_2x_0" localSheetId="75">'411'!$H$35</definedName>
    <definedName name="OSRRefH22_2x_0" localSheetId="76">'412'!$H$24</definedName>
    <definedName name="OSRRefH22_2x_0" localSheetId="77">'413'!$H$28</definedName>
    <definedName name="OSRRefH22_2x_0" localSheetId="78">'414'!$H$25</definedName>
    <definedName name="OSRRefH22_2x_0" localSheetId="79">'415'!$H$38</definedName>
    <definedName name="OSRRefH22_2x_0" localSheetId="80">'418'!$H$35</definedName>
    <definedName name="OSRRefH22_2x_0" localSheetId="82">'423'!$H$25</definedName>
    <definedName name="OSRRefH22_2x_0" localSheetId="83">'424'!$H$24</definedName>
    <definedName name="OSRRefH22_2x_0" localSheetId="84">'425'!$H$30</definedName>
    <definedName name="OSRRefH22_2x_0" localSheetId="87">'430'!$H$31</definedName>
    <definedName name="OSRRefH22_2x_0" localSheetId="88">'433'!$H$41</definedName>
    <definedName name="OSRRefH22_2x_0" localSheetId="90">'444'!$H$41</definedName>
    <definedName name="OSRRefH22_2x_0" localSheetId="91">'450'!$H$41</definedName>
    <definedName name="OSRRefH22_2x_0" localSheetId="72">'491'!$H$42</definedName>
    <definedName name="OSRRefH22_2x_0" localSheetId="86">'492'!$H$42</definedName>
    <definedName name="OSRRefH22_2x_0" localSheetId="93">'501'!$H$38</definedName>
    <definedName name="OSRRefH22_2x_0" localSheetId="39">'Div 2'!$H$38</definedName>
    <definedName name="OSRRefH22_2x_0" localSheetId="47">'Div 3'!$H$145</definedName>
    <definedName name="OSRRefH22_2x_0" localSheetId="70">'Div 4'!$H$45</definedName>
    <definedName name="OSRRefH22_2x_0" localSheetId="92">'Div 5'!$H$38</definedName>
    <definedName name="OSRRefH22_2x_0" localSheetId="61">'Div 6'!$H$69</definedName>
    <definedName name="OSRRefH22_2x_0" localSheetId="2">Summary!$H$171</definedName>
    <definedName name="OSRRefH22_3x_0" localSheetId="40">'200'!$H$26</definedName>
    <definedName name="OSRRefH22_3x_0" localSheetId="41">'201'!$H$35</definedName>
    <definedName name="OSRRefH22_3x_0" localSheetId="42">'202'!$H$35</definedName>
    <definedName name="OSRRefH22_3x_0" localSheetId="43">'203'!$H$37</definedName>
    <definedName name="OSRRefH22_3x_0" localSheetId="44">'204'!$H$36</definedName>
    <definedName name="OSRRefH22_3x_0" localSheetId="45">'205'!$H$33</definedName>
    <definedName name="OSRRefH22_3x_0" localSheetId="46">'206'!$H$34</definedName>
    <definedName name="OSRRefH22_3x_0" localSheetId="48">'300'!$H$142</definedName>
    <definedName name="OSRRefH22_3x_0" localSheetId="49">'300 &amp; 317'!$H$164</definedName>
    <definedName name="OSRRefH22_3x_0" localSheetId="50">'301'!$H$42</definedName>
    <definedName name="OSRRefH22_3x_0" localSheetId="52">'307'!$H$53</definedName>
    <definedName name="OSRRefH22_3x_0" localSheetId="53">'308'!$H$79</definedName>
    <definedName name="OSRRefH22_3x_0" localSheetId="64">'309'!$H$28</definedName>
    <definedName name="OSRRefH22_3x_0" localSheetId="63">'310'!$H$46</definedName>
    <definedName name="OSRRefH22_3x_0" localSheetId="71">'310 &amp; 491'!$H$52</definedName>
    <definedName name="OSRRefH22_3x_0" localSheetId="54">'311'!$H$79</definedName>
    <definedName name="OSRRefH22_3x_0" localSheetId="65">'313'!$H$38</definedName>
    <definedName name="OSRRefH22_3x_0" localSheetId="57">'315'!$H$101:$H$102</definedName>
    <definedName name="OSRRefH22_3x_0" localSheetId="60">'316'!$H$46</definedName>
    <definedName name="OSRRefH22_3x_0" localSheetId="62">'317'!$H$71</definedName>
    <definedName name="OSRRefH22_3x_0" localSheetId="66">'321'!$H$38</definedName>
    <definedName name="OSRRefH22_3x_0" localSheetId="67">'322'!$H$31</definedName>
    <definedName name="OSRRefH22_3x_0" localSheetId="68">'325'!$H$39</definedName>
    <definedName name="OSRRefH22_3x_0" localSheetId="58">'326'!$H$66</definedName>
    <definedName name="OSRRefH22_3x_0" localSheetId="51">'330'!$H$57</definedName>
    <definedName name="OSRRefH22_3x_0" localSheetId="56">'331'!$H$101</definedName>
    <definedName name="OSRRefH22_3x_0" localSheetId="59">'332'!$H$48</definedName>
    <definedName name="OSRRefH22_3x_0" localSheetId="73">'405'!$H$40</definedName>
    <definedName name="OSRRefH22_3x_0" localSheetId="74">'406'!$H$26</definedName>
    <definedName name="OSRRefH22_3x_0" localSheetId="75">'411'!$H$37:$H$38</definedName>
    <definedName name="OSRRefH22_3x_0" localSheetId="76">'412'!$H$26</definedName>
    <definedName name="OSRRefH22_3x_0" localSheetId="77">'413'!$H$30</definedName>
    <definedName name="OSRRefH22_3x_0" localSheetId="78">'414'!$H$27</definedName>
    <definedName name="OSRRefH22_3x_0" localSheetId="79">'415'!$H$40</definedName>
    <definedName name="OSRRefH22_3x_0" localSheetId="80">'418'!$H$37</definedName>
    <definedName name="OSRRefH22_3x_0" localSheetId="82">'423'!$H$27</definedName>
    <definedName name="OSRRefH22_3x_0" localSheetId="83">'424'!$H$26</definedName>
    <definedName name="OSRRefH22_3x_0" localSheetId="84">'425'!$H$32</definedName>
    <definedName name="OSRRefH22_3x_0" localSheetId="87">'430'!$H$33</definedName>
    <definedName name="OSRRefH22_3x_0" localSheetId="88">'433'!$H$43</definedName>
    <definedName name="OSRRefH22_3x_0" localSheetId="90">'444'!$H$43</definedName>
    <definedName name="OSRRefH22_3x_0" localSheetId="91">'450'!$H$43</definedName>
    <definedName name="OSRRefH22_3x_0" localSheetId="72">'491'!$H$44</definedName>
    <definedName name="OSRRefH22_3x_0" localSheetId="86">'492'!$H$44</definedName>
    <definedName name="OSRRefH22_3x_0" localSheetId="93">'501'!$H$40</definedName>
    <definedName name="OSRRefH22_3x_0" localSheetId="39">'Div 2'!$H$40</definedName>
    <definedName name="OSRRefH22_3x_0" localSheetId="47">'Div 3'!$H$147</definedName>
    <definedName name="OSRRefH22_3x_0" localSheetId="70">'Div 4'!$H$47</definedName>
    <definedName name="OSRRefH22_3x_0" localSheetId="92">'Div 5'!$H$40</definedName>
    <definedName name="OSRRefH22_3x_0" localSheetId="61">'Div 6'!$H$71</definedName>
    <definedName name="OSRRefH22_3x_0" localSheetId="2">Summary!$H$173</definedName>
    <definedName name="OSRRefH22_4x_0" localSheetId="41">'201'!$H$37</definedName>
    <definedName name="OSRRefH22_4x_0" localSheetId="42">'202'!$H$37:$H$38</definedName>
    <definedName name="OSRRefH22_4x_0" localSheetId="43">'203'!$H$39</definedName>
    <definedName name="OSRRefH22_4x_0" localSheetId="44">'204'!$H$38:$H$41</definedName>
    <definedName name="OSRRefH22_4x_0" localSheetId="45">'205'!$H$35:$H$36</definedName>
    <definedName name="OSRRefH22_4x_0" localSheetId="46">'206'!$H$36</definedName>
    <definedName name="OSRRefH22_4x_0" localSheetId="48">'300'!$H$144</definedName>
    <definedName name="OSRRefH22_4x_0" localSheetId="49">'300 &amp; 317'!$H$166</definedName>
    <definedName name="OSRRefH22_4x_0" localSheetId="50">'301'!$H$44</definedName>
    <definedName name="OSRRefH22_4x_0" localSheetId="52">'307'!$H$55:$H$56</definedName>
    <definedName name="OSRRefH22_4x_0" localSheetId="53">'308'!$H$81</definedName>
    <definedName name="OSRRefH22_4x_0" localSheetId="63">'310'!$H$48</definedName>
    <definedName name="OSRRefH22_4x_0" localSheetId="71">'310 &amp; 491'!$H$54</definedName>
    <definedName name="OSRRefH22_4x_0" localSheetId="54">'311'!$H$81</definedName>
    <definedName name="OSRRefH22_4x_0" localSheetId="65">'313'!$H$40</definedName>
    <definedName name="OSRRefH22_4x_0" localSheetId="57">'315'!$H$104</definedName>
    <definedName name="OSRRefH22_4x_0" localSheetId="60">'316'!$H$48</definedName>
    <definedName name="OSRRefH22_4x_0" localSheetId="62">'317'!$H$73</definedName>
    <definedName name="OSRRefH22_4x_0" localSheetId="66">'321'!$H$40</definedName>
    <definedName name="OSRRefH22_4x_0" localSheetId="67">'322'!$H$33:$H$34</definedName>
    <definedName name="OSRRefH22_4x_0" localSheetId="68">'325'!$H$41</definedName>
    <definedName name="OSRRefH22_4x_0" localSheetId="58">'326'!$H$68</definedName>
    <definedName name="OSRRefH22_4x_0" localSheetId="51">'330'!$H$59:$H$60</definedName>
    <definedName name="OSRRefH22_4x_0" localSheetId="56">'331'!$H$103</definedName>
    <definedName name="OSRRefH22_4x_0" localSheetId="59">'332'!$H$50</definedName>
    <definedName name="OSRRefH22_4x_0" localSheetId="73">'405'!$H$42</definedName>
    <definedName name="OSRRefH22_4x_0" localSheetId="74">'406'!$H$28</definedName>
    <definedName name="OSRRefH22_4x_0" localSheetId="75">'411'!$H$40</definedName>
    <definedName name="OSRRefH22_4x_0" localSheetId="76">'412'!$H$28</definedName>
    <definedName name="OSRRefH22_4x_0" localSheetId="77">'413'!$H$32</definedName>
    <definedName name="OSRRefH22_4x_0" localSheetId="78">'414'!$H$29:$H$30</definedName>
    <definedName name="OSRRefH22_4x_0" localSheetId="79">'415'!$H$42</definedName>
    <definedName name="OSRRefH22_4x_0" localSheetId="80">'418'!$H$39:$H$40</definedName>
    <definedName name="OSRRefH22_4x_0" localSheetId="84">'425'!$H$34</definedName>
    <definedName name="OSRRefH22_4x_0" localSheetId="87">'430'!$H$35</definedName>
    <definedName name="OSRRefH22_4x_0" localSheetId="88">'433'!$H$45</definedName>
    <definedName name="OSRRefH22_4x_0" localSheetId="90">'444'!$H$45</definedName>
    <definedName name="OSRRefH22_4x_0" localSheetId="91">'450'!$H$45</definedName>
    <definedName name="OSRRefH22_4x_0" localSheetId="72">'491'!$H$46</definedName>
    <definedName name="OSRRefH22_4x_0" localSheetId="86">'492'!$H$46</definedName>
    <definedName name="OSRRefH22_4x_0" localSheetId="93">'501'!$H$42:$H$43</definedName>
    <definedName name="OSRRefH22_4x_0" localSheetId="39">'Div 2'!$H$42</definedName>
    <definedName name="OSRRefH22_4x_0" localSheetId="47">'Div 3'!$H$149</definedName>
    <definedName name="OSRRefH22_4x_0" localSheetId="70">'Div 4'!$H$49</definedName>
    <definedName name="OSRRefH22_4x_0" localSheetId="92">'Div 5'!$H$42:$H$43</definedName>
    <definedName name="OSRRefH22_4x_0" localSheetId="61">'Div 6'!$H$73</definedName>
    <definedName name="OSRRefH22_4x_0" localSheetId="2">Summary!$H$175</definedName>
    <definedName name="OSRRefH22_5x_0" localSheetId="41">'201'!$H$39</definedName>
    <definedName name="OSRRefH22_5x_0" localSheetId="42">'202'!$H$40</definedName>
    <definedName name="OSRRefH22_5x_0" localSheetId="43">'203'!$H$41</definedName>
    <definedName name="OSRRefH22_5x_0" localSheetId="44">'204'!$H$43</definedName>
    <definedName name="OSRRefH22_5x_0" localSheetId="45">'205'!$H$38:$H$39</definedName>
    <definedName name="OSRRefH22_5x_0" localSheetId="46">'206'!$H$38</definedName>
    <definedName name="OSRRefH22_5x_0" localSheetId="48">'300'!$H$146:$H$147</definedName>
    <definedName name="OSRRefH22_5x_0" localSheetId="49">'300 &amp; 317'!$H$168:$H$169</definedName>
    <definedName name="OSRRefH22_5x_0" localSheetId="50">'301'!$H$46:$H$47</definedName>
    <definedName name="OSRRefH22_5x_0" localSheetId="52">'307'!$H$58</definedName>
    <definedName name="OSRRefH22_5x_0" localSheetId="53">'308'!$H$83</definedName>
    <definedName name="OSRRefH22_5x_0" localSheetId="63">'310'!$H$50:$H$51</definedName>
    <definedName name="OSRRefH22_5x_0" localSheetId="71">'310 &amp; 491'!$H$56:$H$57</definedName>
    <definedName name="OSRRefH22_5x_0" localSheetId="54">'311'!$H$83</definedName>
    <definedName name="OSRRefH22_5x_0" localSheetId="65">'313'!$H$42</definedName>
    <definedName name="OSRRefH22_5x_0" localSheetId="57">'315'!$H$106:$H$107</definedName>
    <definedName name="OSRRefH22_5x_0" localSheetId="60">'316'!$H$50</definedName>
    <definedName name="OSRRefH22_5x_0" localSheetId="62">'317'!$H$75:$H$76</definedName>
    <definedName name="OSRRefH22_5x_0" localSheetId="66">'321'!$H$42</definedName>
    <definedName name="OSRRefH22_5x_0" localSheetId="67">'322'!$H$36</definedName>
    <definedName name="OSRRefH22_5x_0" localSheetId="68">'325'!$H$43:$H$44</definedName>
    <definedName name="OSRRefH22_5x_0" localSheetId="58">'326'!$H$70</definedName>
    <definedName name="OSRRefH22_5x_0" localSheetId="51">'330'!$H$62:$H$63</definedName>
    <definedName name="OSRRefH22_5x_0" localSheetId="56">'331'!$H$105:$H$106</definedName>
    <definedName name="OSRRefH22_5x_0" localSheetId="59">'332'!$H$52</definedName>
    <definedName name="OSRRefH22_5x_0" localSheetId="73">'405'!$H$44:$H$45</definedName>
    <definedName name="OSRRefH22_5x_0" localSheetId="75">'411'!$H$42</definedName>
    <definedName name="OSRRefH22_5x_0" localSheetId="77">'413'!$H$34</definedName>
    <definedName name="OSRRefH22_5x_0" localSheetId="79">'415'!$H$44:$H$45</definedName>
    <definedName name="OSRRefH22_5x_0" localSheetId="80">'418'!$H$42</definedName>
    <definedName name="OSRRefH22_5x_0" localSheetId="84">'425'!$H$36</definedName>
    <definedName name="OSRRefH22_5x_0" localSheetId="87">'430'!$H$37:$H$38</definedName>
    <definedName name="OSRRefH22_5x_0" localSheetId="88">'433'!$H$47</definedName>
    <definedName name="OSRRefH22_5x_0" localSheetId="90">'444'!$H$47</definedName>
    <definedName name="OSRRefH22_5x_0" localSheetId="91">'450'!$H$47</definedName>
    <definedName name="OSRRefH22_5x_0" localSheetId="72">'491'!$H$48:$H$49</definedName>
    <definedName name="OSRRefH22_5x_0" localSheetId="86">'492'!$H$48</definedName>
    <definedName name="OSRRefH22_5x_0" localSheetId="93">'501'!$H$45</definedName>
    <definedName name="OSRRefH22_5x_0" localSheetId="39">'Div 2'!$H$44</definedName>
    <definedName name="OSRRefH22_5x_0" localSheetId="47">'Div 3'!$H$151:$H$152</definedName>
    <definedName name="OSRRefH22_5x_0" localSheetId="70">'Div 4'!$H$51:$H$52</definedName>
    <definedName name="OSRRefH22_5x_0" localSheetId="92">'Div 5'!$H$45</definedName>
    <definedName name="OSRRefH22_5x_0" localSheetId="61">'Div 6'!$H$75:$H$76</definedName>
    <definedName name="OSRRefH22_5x_0" localSheetId="2">Summary!$H$177:$H$178</definedName>
    <definedName name="OSRRefH22_6x_0" localSheetId="41">'201'!$H$41</definedName>
    <definedName name="OSRRefH22_6x_0" localSheetId="42">'202'!$H$42:$H$44</definedName>
    <definedName name="OSRRefH22_6x_0" localSheetId="43">'203'!$H$43</definedName>
    <definedName name="OSRRefH22_6x_0" localSheetId="44">'204'!$H$45:$H$46</definedName>
    <definedName name="OSRRefH22_6x_0" localSheetId="45">'205'!$H$41</definedName>
    <definedName name="OSRRefH22_6x_0" localSheetId="46">'206'!$H$40</definedName>
    <definedName name="OSRRefH22_6x_0" localSheetId="48">'300'!$H$149:$H$150</definedName>
    <definedName name="OSRRefH22_6x_0" localSheetId="49">'300 &amp; 317'!$H$171:$H$172</definedName>
    <definedName name="OSRRefH22_6x_0" localSheetId="50">'301'!$H$49</definedName>
    <definedName name="OSRRefH22_6x_0" localSheetId="52">'307'!$H$60</definedName>
    <definedName name="OSRRefH22_6x_0" localSheetId="53">'308'!$H$85</definedName>
    <definedName name="OSRRefH22_6x_0" localSheetId="63">'310'!$H$53</definedName>
    <definedName name="OSRRefH22_6x_0" localSheetId="71">'310 &amp; 491'!$H$59</definedName>
    <definedName name="OSRRefH22_6x_0" localSheetId="54">'311'!$H$85</definedName>
    <definedName name="OSRRefH22_6x_0" localSheetId="65">'313'!$H$44</definedName>
    <definedName name="OSRRefH22_6x_0" localSheetId="57">'315'!$H$109:$H$110</definedName>
    <definedName name="OSRRefH22_6x_0" localSheetId="60">'316'!$H$52:$H$53</definedName>
    <definedName name="OSRRefH22_6x_0" localSheetId="62">'317'!$H$78</definedName>
    <definedName name="OSRRefH22_6x_0" localSheetId="66">'321'!$H$44:$H$45</definedName>
    <definedName name="OSRRefH22_6x_0" localSheetId="67">'322'!$H$38</definedName>
    <definedName name="OSRRefH22_6x_0" localSheetId="68">'325'!$H$46</definedName>
    <definedName name="OSRRefH22_6x_0" localSheetId="58">'326'!$H$72</definedName>
    <definedName name="OSRRefH22_6x_0" localSheetId="51">'330'!$H$65</definedName>
    <definedName name="OSRRefH22_6x_0" localSheetId="56">'331'!$H$108</definedName>
    <definedName name="OSRRefH22_6x_0" localSheetId="59">'332'!$H$54:$H$55</definedName>
    <definedName name="OSRRefH22_6x_0" localSheetId="73">'405'!$H$47</definedName>
    <definedName name="OSRRefH22_6x_0" localSheetId="75">'411'!$H$44</definedName>
    <definedName name="OSRRefH22_6x_0" localSheetId="79">'415'!$H$47</definedName>
    <definedName name="OSRRefH22_6x_0" localSheetId="80">'418'!$H$44</definedName>
    <definedName name="OSRRefH22_6x_0" localSheetId="84">'425'!$H$38</definedName>
    <definedName name="OSRRefH22_6x_0" localSheetId="87">'430'!$H$40</definedName>
    <definedName name="OSRRefH22_6x_0" localSheetId="88">'433'!$H$49</definedName>
    <definedName name="OSRRefH22_6x_0" localSheetId="90">'444'!$H$49</definedName>
    <definedName name="OSRRefH22_6x_0" localSheetId="91">'450'!$H$49</definedName>
    <definedName name="OSRRefH22_6x_0" localSheetId="72">'491'!$H$51</definedName>
    <definedName name="OSRRefH22_6x_0" localSheetId="86">'492'!$H$50</definedName>
    <definedName name="OSRRefH22_6x_0" localSheetId="93">'501'!$H$47</definedName>
    <definedName name="OSRRefH22_6x_0" localSheetId="39">'Div 2'!$H$46</definedName>
    <definedName name="OSRRefH22_6x_0" localSheetId="47">'Div 3'!$H$154:$H$155</definedName>
    <definedName name="OSRRefH22_6x_0" localSheetId="70">'Div 4'!$H$54</definedName>
    <definedName name="OSRRefH22_6x_0" localSheetId="92">'Div 5'!$H$47</definedName>
    <definedName name="OSRRefH22_6x_0" localSheetId="61">'Div 6'!$H$78</definedName>
    <definedName name="OSRRefH22_6x_0" localSheetId="2">Summary!$H$180:$H$181</definedName>
    <definedName name="OSRRefH22_7x_0" localSheetId="41">'201'!$H$43</definedName>
    <definedName name="OSRRefH22_7x_0" localSheetId="42">'202'!$H$46</definedName>
    <definedName name="OSRRefH22_7x_0" localSheetId="43">'203'!$H$45:$H$46</definedName>
    <definedName name="OSRRefH22_7x_0" localSheetId="48">'300'!$H$152</definedName>
    <definedName name="OSRRefH22_7x_0" localSheetId="49">'300 &amp; 317'!$H$174</definedName>
    <definedName name="OSRRefH22_7x_0" localSheetId="50">'301'!$H$51</definedName>
    <definedName name="OSRRefH22_7x_0" localSheetId="52">'307'!$H$62</definedName>
    <definedName name="OSRRefH22_7x_0" localSheetId="53">'308'!$H$87</definedName>
    <definedName name="OSRRefH22_7x_0" localSheetId="63">'310'!$H$55</definedName>
    <definedName name="OSRRefH22_7x_0" localSheetId="71">'310 &amp; 491'!$H$61</definedName>
    <definedName name="OSRRefH22_7x_0" localSheetId="54">'311'!$H$87</definedName>
    <definedName name="OSRRefH22_7x_0" localSheetId="57">'315'!$H$112</definedName>
    <definedName name="OSRRefH22_7x_0" localSheetId="60">'316'!$H$55</definedName>
    <definedName name="OSRRefH22_7x_0" localSheetId="62">'317'!$H$80</definedName>
    <definedName name="OSRRefH22_7x_0" localSheetId="66">'321'!$H$47</definedName>
    <definedName name="OSRRefH22_7x_0" localSheetId="67">'322'!$H$40</definedName>
    <definedName name="OSRRefH22_7x_0" localSheetId="68">'325'!$H$48</definedName>
    <definedName name="OSRRefH22_7x_0" localSheetId="58">'326'!$H$74</definedName>
    <definedName name="OSRRefH22_7x_0" localSheetId="51">'330'!$H$67</definedName>
    <definedName name="OSRRefH22_7x_0" localSheetId="56">'331'!$H$110:$H$111</definedName>
    <definedName name="OSRRefH22_7x_0" localSheetId="59">'332'!$H$57</definedName>
    <definedName name="OSRRefH22_7x_0" localSheetId="73">'405'!$H$49</definedName>
    <definedName name="OSRRefH22_7x_0" localSheetId="75">'411'!$H$46</definedName>
    <definedName name="OSRRefH22_7x_0" localSheetId="79">'415'!$H$49</definedName>
    <definedName name="OSRRefH22_7x_0" localSheetId="80">'418'!$H$46</definedName>
    <definedName name="OSRRefH22_7x_0" localSheetId="84">'425'!$H$40</definedName>
    <definedName name="OSRRefH22_7x_0" localSheetId="87">'430'!$H$42</definedName>
    <definedName name="OSRRefH22_7x_0" localSheetId="88">'433'!$H$51</definedName>
    <definedName name="OSRRefH22_7x_0" localSheetId="90">'444'!$H$51</definedName>
    <definedName name="OSRRefH22_7x_0" localSheetId="91">'450'!$H$51</definedName>
    <definedName name="OSRRefH22_7x_0" localSheetId="72">'491'!$H$53</definedName>
    <definedName name="OSRRefH22_7x_0" localSheetId="86">'492'!$H$52</definedName>
    <definedName name="OSRRefH22_7x_0" localSheetId="93">'501'!$H$49:$H$50</definedName>
    <definedName name="OSRRefH22_7x_0" localSheetId="39">'Div 2'!$H$48</definedName>
    <definedName name="OSRRefH22_7x_0" localSheetId="47">'Div 3'!$H$157</definedName>
    <definedName name="OSRRefH22_7x_0" localSheetId="70">'Div 4'!$H$56</definedName>
    <definedName name="OSRRefH22_7x_0" localSheetId="92">'Div 5'!$H$49:$H$50</definedName>
    <definedName name="OSRRefH22_7x_0" localSheetId="61">'Div 6'!$H$80</definedName>
    <definedName name="OSRRefH22_7x_0" localSheetId="2">Summary!$H$183</definedName>
    <definedName name="OSRRefH22_8x_0" localSheetId="41">'201'!$H$45:$H$46</definedName>
    <definedName name="OSRRefH22_8x_0" localSheetId="42">'202'!$H$48:$H$49</definedName>
    <definedName name="OSRRefH22_8x_0" localSheetId="43">'203'!$H$48:$H$49</definedName>
    <definedName name="OSRRefH22_8x_0" localSheetId="48">'300'!$H$154</definedName>
    <definedName name="OSRRefH22_8x_0" localSheetId="49">'300 &amp; 317'!$H$176</definedName>
    <definedName name="OSRRefH22_8x_0" localSheetId="50">'301'!$H$53</definedName>
    <definedName name="OSRRefH22_8x_0" localSheetId="52">'307'!$H$64:$H$65</definedName>
    <definedName name="OSRRefH22_8x_0" localSheetId="53">'308'!$H$89</definedName>
    <definedName name="OSRRefH22_8x_0" localSheetId="63">'310'!$H$57</definedName>
    <definedName name="OSRRefH22_8x_0" localSheetId="71">'310 &amp; 491'!$H$63:$H$64</definedName>
    <definedName name="OSRRefH22_8x_0" localSheetId="54">'311'!$H$89</definedName>
    <definedName name="OSRRefH22_8x_0" localSheetId="57">'315'!$H$114:$H$115</definedName>
    <definedName name="OSRRefH22_8x_0" localSheetId="60">'316'!$H$57:$H$59</definedName>
    <definedName name="OSRRefH22_8x_0" localSheetId="62">'317'!$H$82:$H$84</definedName>
    <definedName name="OSRRefH22_8x_0" localSheetId="66">'321'!$H$49:$H$50</definedName>
    <definedName name="OSRRefH22_8x_0" localSheetId="68">'325'!$H$50</definedName>
    <definedName name="OSRRefH22_8x_0" localSheetId="58">'326'!$H$76</definedName>
    <definedName name="OSRRefH22_8x_0" localSheetId="51">'330'!$H$69:$H$70</definedName>
    <definedName name="OSRRefH22_8x_0" localSheetId="56">'331'!$H$113</definedName>
    <definedName name="OSRRefH22_8x_0" localSheetId="59">'332'!$H$59:$H$61</definedName>
    <definedName name="OSRRefH22_8x_0" localSheetId="73">'405'!$H$51</definedName>
    <definedName name="OSRRefH22_8x_0" localSheetId="75">'411'!$H$48</definedName>
    <definedName name="OSRRefH22_8x_0" localSheetId="79">'415'!$H$51</definedName>
    <definedName name="OSRRefH22_8x_0" localSheetId="80">'418'!$H$48:$H$49</definedName>
    <definedName name="OSRRefH22_8x_0" localSheetId="84">'425'!$H$42</definedName>
    <definedName name="OSRRefH22_8x_0" localSheetId="88">'433'!$H$53</definedName>
    <definedName name="OSRRefH22_8x_0" localSheetId="90">'444'!$H$53</definedName>
    <definedName name="OSRRefH22_8x_0" localSheetId="91">'450'!$H$53</definedName>
    <definedName name="OSRRefH22_8x_0" localSheetId="72">'491'!$H$55</definedName>
    <definedName name="OSRRefH22_8x_0" localSheetId="86">'492'!$H$54</definedName>
    <definedName name="OSRRefH22_8x_0" localSheetId="93">'501'!$H$52:$H$53</definedName>
    <definedName name="OSRRefH22_8x_0" localSheetId="39">'Div 2'!$H$50</definedName>
    <definedName name="OSRRefH22_8x_0" localSheetId="47">'Div 3'!$H$159</definedName>
    <definedName name="OSRRefH22_8x_0" localSheetId="70">'Div 4'!$H$58</definedName>
    <definedName name="OSRRefH22_8x_0" localSheetId="92">'Div 5'!$H$52:$H$53</definedName>
    <definedName name="OSRRefH22_8x_0" localSheetId="61">'Div 6'!$H$82:$H$84</definedName>
    <definedName name="OSRRefH22_8x_0" localSheetId="2">Summary!$H$185</definedName>
    <definedName name="OSRRefH22_9x_0" localSheetId="41">'201'!$H$48:$H$49</definedName>
    <definedName name="OSRRefH22_9x_0" localSheetId="42">'202'!$H$51</definedName>
    <definedName name="OSRRefH22_9x_0" localSheetId="43">'203'!$H$51</definedName>
    <definedName name="OSRRefH22_9x_0" localSheetId="48">'300'!$H$156</definedName>
    <definedName name="OSRRefH22_9x_0" localSheetId="49">'300 &amp; 317'!$H$178</definedName>
    <definedName name="OSRRefH22_9x_0" localSheetId="50">'301'!$H$55</definedName>
    <definedName name="OSRRefH22_9x_0" localSheetId="52">'307'!$H$67:$H$68</definedName>
    <definedName name="OSRRefH22_9x_0" localSheetId="53">'308'!$H$91:$H$93</definedName>
    <definedName name="OSRRefH22_9x_0" localSheetId="63">'310'!$H$59</definedName>
    <definedName name="OSRRefH22_9x_0" localSheetId="71">'310 &amp; 491'!$H$66</definedName>
    <definedName name="OSRRefH22_9x_0" localSheetId="54">'311'!$H$91:$H$93</definedName>
    <definedName name="OSRRefH22_9x_0" localSheetId="57">'315'!$H$117:$H$118</definedName>
    <definedName name="OSRRefH22_9x_0" localSheetId="60">'316'!$H$61</definedName>
    <definedName name="OSRRefH22_9x_0" localSheetId="62">'317'!$H$86</definedName>
    <definedName name="OSRRefH22_9x_0" localSheetId="66">'321'!$H$52:$H$56</definedName>
    <definedName name="OSRRefH22_9x_0" localSheetId="68">'325'!$H$52:$H$53</definedName>
    <definedName name="OSRRefH22_9x_0" localSheetId="58">'326'!$H$78</definedName>
    <definedName name="OSRRefH22_9x_0" localSheetId="51">'330'!$H$72:$H$73</definedName>
    <definedName name="OSRRefH22_9x_0" localSheetId="56">'331'!$H$115:$H$116</definedName>
    <definedName name="OSRRefH22_9x_0" localSheetId="59">'332'!$H$63</definedName>
    <definedName name="OSRRefH22_9x_0" localSheetId="73">'405'!$H$53</definedName>
    <definedName name="OSRRefH22_9x_0" localSheetId="75">'411'!$H$50:$H$52</definedName>
    <definedName name="OSRRefH22_9x_0" localSheetId="79">'415'!$H$53</definedName>
    <definedName name="OSRRefH22_9x_0" localSheetId="80">'418'!$H$51</definedName>
    <definedName name="OSRRefH22_9x_0" localSheetId="88">'433'!$H$55</definedName>
    <definedName name="OSRRefH22_9x_0" localSheetId="90">'444'!$H$55</definedName>
    <definedName name="OSRRefH22_9x_0" localSheetId="91">'450'!$H$55</definedName>
    <definedName name="OSRRefH22_9x_0" localSheetId="72">'491'!$H$57</definedName>
    <definedName name="OSRRefH22_9x_0" localSheetId="86">'492'!$H$56</definedName>
    <definedName name="OSRRefH22_9x_0" localSheetId="93">'501'!$H$55</definedName>
    <definedName name="OSRRefH22_9x_0" localSheetId="39">'Div 2'!$H$52:$H$53</definedName>
    <definedName name="OSRRefH22_9x_0" localSheetId="47">'Div 3'!$H$161</definedName>
    <definedName name="OSRRefH22_9x_0" localSheetId="70">'Div 4'!$H$60</definedName>
    <definedName name="OSRRefH22_9x_0" localSheetId="92">'Div 5'!$H$55</definedName>
    <definedName name="OSRRefH22_9x_0" localSheetId="61">'Div 6'!$H$86</definedName>
    <definedName name="OSRRefH22_9x_0" localSheetId="2">Summary!$H$187</definedName>
    <definedName name="OSRRefH22x_0" localSheetId="40">'200'!$H$20,'200'!$H$22,'200'!$H$24,'200'!$H$26</definedName>
    <definedName name="OSRRefH22x_0" localSheetId="41">'201'!$H$20:$H$27,'201'!$H$29:$H$31,'201'!$H$33,'201'!$H$35,'201'!$H$37,'201'!$H$39,'201'!$H$41,'201'!$H$43,'201'!$H$45:$H$46,'201'!$H$48:$H$49,'201'!$H$51,'201'!$H$53:$H$54,'201'!$H$56</definedName>
    <definedName name="OSRRefH22x_0" localSheetId="42">'202'!$H$20:$H$27,'202'!$H$29:$H$31,'202'!$H$33,'202'!$H$35,'202'!$H$37:$H$38,'202'!$H$40,'202'!$H$42:$H$44,'202'!$H$46,'202'!$H$48:$H$49,'202'!$H$51,'202'!$H$53,'202'!$H$55</definedName>
    <definedName name="OSRRefH22x_0" localSheetId="43">'203'!$H$20:$H$28,'203'!$H$30:$H$33,'203'!$H$35,'203'!$H$37,'203'!$H$39,'203'!$H$41,'203'!$H$43,'203'!$H$45:$H$46,'203'!$H$48:$H$49,'203'!$H$51,'203'!$H$53:$H$56,'203'!$H$58,'203'!$H$60</definedName>
    <definedName name="OSRRefH22x_0" localSheetId="44">'204'!$H$20:$H$28,'204'!$H$30:$H$32,'204'!$H$34,'204'!$H$36,'204'!$H$38:$H$41,'204'!$H$43,'204'!$H$45:$H$46</definedName>
    <definedName name="OSRRefH22x_0" localSheetId="45">'205'!$H$20:$H$27,'205'!$H$29,'205'!$H$31,'205'!$H$33,'205'!$H$35:$H$36,'205'!$H$38:$H$39,'205'!$H$41</definedName>
    <definedName name="OSRRefH22x_0" localSheetId="46">'206'!$H$20:$H$26,'206'!$H$28:$H$30,'206'!$H$32,'206'!$H$34,'206'!$H$36,'206'!$H$38,'206'!$H$40</definedName>
    <definedName name="OSRRefH22x_0" localSheetId="48">'300'!$H$121:$H$130,'300'!$H$132:$H$138,'300'!$H$140,'300'!$H$142,'300'!$H$144,'300'!$H$146:$H$147,'300'!$H$149:$H$150,'300'!$H$152,'300'!$H$154,'300'!$H$156,'300'!$H$158:$H$159,'300'!$H$161,'300'!$H$163,'300'!$H$165:$H$166,'300'!$H$168,'300'!$H$170,'300'!$H$172:$H$175,'300'!$H$177:$H$179,'300'!$H$181:$H$184,'300'!$H$186:$H$187,'300'!$H$189:$H$195,'300'!$H$197:$H$198,'300'!$H$200,'300'!$H$202:$H$204,'300'!$H$206</definedName>
    <definedName name="OSRRefH22x_0" localSheetId="49">'300 &amp; 317'!$H$143:$H$152,'300 &amp; 317'!$H$154:$H$160,'300 &amp; 317'!$H$162,'300 &amp; 317'!$H$164,'300 &amp; 317'!$H$166,'300 &amp; 317'!$H$168:$H$169,'300 &amp; 317'!$H$171:$H$172,'300 &amp; 317'!$H$174,'300 &amp; 317'!$H$176,'300 &amp; 317'!$H$178,'300 &amp; 317'!$H$180:$H$181,'300 &amp; 317'!$H$183,'300 &amp; 317'!$H$185,'300 &amp; 317'!$H$187:$H$188,'300 &amp; 317'!$H$190,'300 &amp; 317'!$H$192,'300 &amp; 317'!$H$194:$H$197,'300 &amp; 317'!$H$199:$H$201,'300 &amp; 317'!$H$203:$H$206,'300 &amp; 317'!$H$208:$H$209,'300 &amp; 317'!$H$211:$H$217,'300 &amp; 317'!$H$219:$H$220,'300 &amp; 317'!$H$222,'300 &amp; 317'!$H$224:$H$226,'300 &amp; 317'!$H$228</definedName>
    <definedName name="OSRRefH22x_0" localSheetId="50">'301'!$H$21:$H$30,'301'!$H$32:$H$38,'301'!$H$40,'301'!$H$42,'301'!$H$44,'301'!$H$46:$H$47,'301'!$H$49,'301'!$H$51,'301'!$H$53,'301'!$H$55,'301'!$H$57,'301'!$H$59,'301'!$H$61,'301'!$H$63,'301'!$H$65,'301'!$H$67:$H$70,'301'!$H$72:$H$74,'301'!$H$76,'301'!$H$78:$H$83,'301'!$H$85,'301'!$H$87,'301'!$H$89:$H$90,'301'!$H$92</definedName>
    <definedName name="OSRRefH22x_0" localSheetId="52">'307'!$H$43:$H$45,'307'!$H$47:$H$49,'307'!$H$51,'307'!$H$53,'307'!$H$55:$H$56,'307'!$H$58,'307'!$H$60,'307'!$H$62,'307'!$H$64:$H$65,'307'!$H$67:$H$68,'307'!$H$70:$H$73,'307'!$H$75,'307'!$H$77</definedName>
    <definedName name="OSRRefH22x_0" localSheetId="53">'308'!$H$59:$H$67,'308'!$H$69:$H$75,'308'!$H$77,'308'!$H$79,'308'!$H$81,'308'!$H$83,'308'!$H$85,'308'!$H$87,'308'!$H$89,'308'!$H$91:$H$93,'308'!$H$95,'308'!$H$97:$H$98,'308'!$H$100:$H$101,'308'!$H$103</definedName>
    <definedName name="OSRRefH22x_0" localSheetId="64">'309'!$H$20,'309'!$H$22:$H$23,'309'!$H$25:$H$26,'309'!$H$28</definedName>
    <definedName name="OSRRefH22x_0" localSheetId="63">'310'!$H$31:$H$38,'310'!$H$40:$H$42,'310'!$H$44,'310'!$H$46,'310'!$H$48,'310'!$H$50:$H$51,'310'!$H$53,'310'!$H$55,'310'!$H$57,'310'!$H$59,'310'!$H$61:$H$62,'310'!$H$64,'310'!$H$66:$H$68,'310'!$H$70:$H$74,'310'!$H$76,'310'!$H$78</definedName>
    <definedName name="OSRRefH22x_0" localSheetId="71">'310 &amp; 491'!$H$35:$H$42,'310 &amp; 491'!$H$44:$H$48,'310 &amp; 491'!$H$50,'310 &amp; 491'!$H$52,'310 &amp; 491'!$H$54,'310 &amp; 491'!$H$56:$H$57,'310 &amp; 491'!$H$59,'310 &amp; 491'!$H$61,'310 &amp; 491'!$H$63:$H$64,'310 &amp; 491'!$H$66,'310 &amp; 491'!$H$68,'310 &amp; 491'!$H$70,'310 &amp; 491'!$H$72,'310 &amp; 491'!$H$74:$H$76,'310 &amp; 491'!$H$78,'310 &amp; 491'!$H$80:$H$83,'310 &amp; 491'!$H$85,'310 &amp; 491'!$H$87:$H$94,'310 &amp; 491'!$H$96,'310 &amp; 491'!$H$98,'310 &amp; 491'!$H$100</definedName>
    <definedName name="OSRRefH22x_0" localSheetId="54">'311'!$H$59:$H$67,'311'!$H$69:$H$75,'311'!$H$77,'311'!$H$79,'311'!$H$81,'311'!$H$83,'311'!$H$85,'311'!$H$87,'311'!$H$89,'311'!$H$91:$H$93,'311'!$H$95,'311'!$H$97:$H$98,'311'!$H$100:$H$101,'311'!$H$103</definedName>
    <definedName name="OSRRefH22x_0" localSheetId="65">'313'!$H$25:$H$32,'313'!$H$34,'313'!$H$36,'313'!$H$38,'313'!$H$40,'313'!$H$42,'313'!$H$44</definedName>
    <definedName name="OSRRefH22x_0" localSheetId="57">'315'!$H$84:$H$91,'315'!$H$93:$H$97,'315'!$H$99,'315'!$H$101:$H$102,'315'!$H$104,'315'!$H$106:$H$107,'315'!$H$109:$H$110,'315'!$H$112,'315'!$H$114:$H$115,'315'!$H$117:$H$118,'315'!$H$120,'315'!$H$122:$H$124,'315'!$H$126,'315'!$H$128</definedName>
    <definedName name="OSRRefH22x_0" localSheetId="60">'316'!$H$31:$H$38,'316'!$H$40:$H$42,'316'!$H$44,'316'!$H$46,'316'!$H$48,'316'!$H$50,'316'!$H$52:$H$53,'316'!$H$55,'316'!$H$57:$H$59,'316'!$H$61,'316'!$H$63:$H$67,'316'!$H$69,'316'!$H$71</definedName>
    <definedName name="OSRRefH22x_0" localSheetId="62">'317'!$H$53:$H$61,'317'!$H$63:$H$67,'317'!$H$69,'317'!$H$71,'317'!$H$73,'317'!$H$75:$H$76,'317'!$H$78,'317'!$H$80,'317'!$H$82:$H$84,'317'!$H$86,'317'!$H$88</definedName>
    <definedName name="OSRRefH22x_0" localSheetId="66">'321'!$H$23:$H$30,'321'!$H$32:$H$34,'321'!$H$36,'321'!$H$38,'321'!$H$40,'321'!$H$42,'321'!$H$44:$H$45,'321'!$H$47,'321'!$H$49:$H$50,'321'!$H$52:$H$56,'321'!$H$58,'321'!$H$60</definedName>
    <definedName name="OSRRefH22x_0" localSheetId="67">'322'!$H$21:$H$25,'322'!$H$27,'322'!$H$29,'322'!$H$31,'322'!$H$33:$H$34,'322'!$H$36,'322'!$H$38,'322'!$H$40</definedName>
    <definedName name="OSRRefH22x_0" localSheetId="68">'325'!$H$24:$H$31,'325'!$H$33:$H$35,'325'!$H$37,'325'!$H$39,'325'!$H$41,'325'!$H$43:$H$44,'325'!$H$46,'325'!$H$48,'325'!$H$50,'325'!$H$52:$H$53,'325'!$H$55:$H$57,'325'!$H$59:$H$62,'325'!$H$64,'325'!$H$66</definedName>
    <definedName name="OSRRefH22x_0" localSheetId="58">'326'!$H$49:$H$56,'326'!$H$58:$H$62,'326'!$H$64,'326'!$H$66,'326'!$H$68,'326'!$H$70,'326'!$H$72,'326'!$H$74,'326'!$H$76,'326'!$H$78,'326'!$H$80:$H$82,'326'!$H$84:$H$85,'326'!$H$87,'326'!$H$89:$H$92,'326'!$H$94,'326'!$H$96,'326'!$H$98</definedName>
    <definedName name="OSRRefH22x_0" localSheetId="69">'327'!$H$24</definedName>
    <definedName name="OSRRefH22x_0" localSheetId="51">'330'!$H$46:$H$49,'330'!$H$51:$H$53,'330'!$H$55,'330'!$H$57,'330'!$H$59:$H$60,'330'!$H$62:$H$63,'330'!$H$65,'330'!$H$67,'330'!$H$69:$H$70,'330'!$H$72:$H$73,'330'!$H$75:$H$78,'330'!$H$80,'330'!$H$82</definedName>
    <definedName name="OSRRefH22x_0" localSheetId="56">'331'!$H$84:$H$91,'331'!$H$93:$H$97,'331'!$H$99,'331'!$H$101,'331'!$H$103,'331'!$H$105:$H$106,'331'!$H$108,'331'!$H$110:$H$111,'331'!$H$113,'331'!$H$115:$H$116,'331'!$H$118,'331'!$H$120,'331'!$H$122:$H$124,'331'!$H$126:$H$127,'331'!$H$129:$H$130,'331'!$H$132,'331'!$H$134:$H$137,'331'!$H$139,'331'!$H$141,'331'!$H$143</definedName>
    <definedName name="OSRRefH22x_0" localSheetId="59">'332'!$H$33:$H$40,'332'!$H$42:$H$44,'332'!$H$46,'332'!$H$48,'332'!$H$50,'332'!$H$52,'332'!$H$54:$H$55,'332'!$H$57,'332'!$H$59:$H$61,'332'!$H$63,'332'!$H$65:$H$69,'332'!$H$71,'332'!$H$73</definedName>
    <definedName name="OSRRefH22x_0" localSheetId="73">'405'!$H$24:$H$31,'405'!$H$33:$H$36,'405'!$H$38,'405'!$H$40,'405'!$H$42,'405'!$H$44:$H$45,'405'!$H$47,'405'!$H$49,'405'!$H$51,'405'!$H$53,'405'!$H$55:$H$56,'405'!$H$58:$H$61,'405'!$H$63,'405'!$H$65:$H$71,'405'!$H$73,'405'!$H$75</definedName>
    <definedName name="OSRRefH22x_0" localSheetId="74">'406'!$H$20,'406'!$H$22,'406'!$H$24,'406'!$H$26,'406'!$H$28</definedName>
    <definedName name="OSRRefH22x_0" localSheetId="75">'411'!$H$20:$H$27,'411'!$H$29:$H$33,'411'!$H$35,'411'!$H$37:$H$38,'411'!$H$40,'411'!$H$42,'411'!$H$44,'411'!$H$46,'411'!$H$48,'411'!$H$50:$H$52,'411'!$H$54:$H$56,'411'!$H$58:$H$59,'411'!$H$61,'411'!$H$63,'411'!$H$65</definedName>
    <definedName name="OSRRefH22x_0" localSheetId="76">'412'!$H$20,'412'!$H$22,'412'!$H$24,'412'!$H$26,'412'!$H$28</definedName>
    <definedName name="OSRRefH22x_0" localSheetId="77">'413'!$H$20:$H$24,'413'!$H$26,'413'!$H$28,'413'!$H$30,'413'!$H$32,'413'!$H$34</definedName>
    <definedName name="OSRRefH22x_0" localSheetId="78">'414'!$H$21,'414'!$H$23,'414'!$H$25,'414'!$H$27,'414'!$H$29:$H$30</definedName>
    <definedName name="OSRRefH22x_0" localSheetId="79">'415'!$H$24:$H$31,'415'!$H$33:$H$36,'415'!$H$38,'415'!$H$40,'415'!$H$42,'415'!$H$44:$H$45,'415'!$H$47,'415'!$H$49,'415'!$H$51,'415'!$H$53,'415'!$H$55:$H$56,'415'!$H$58:$H$61,'415'!$H$63,'415'!$H$65:$H$70,'415'!$H$72,'415'!$H$74</definedName>
    <definedName name="OSRRefH22x_0" localSheetId="80">'418'!$H$21:$H$28,'418'!$H$30:$H$33,'418'!$H$35,'418'!$H$37,'418'!$H$39:$H$40,'418'!$H$42,'418'!$H$44,'418'!$H$46,'418'!$H$48:$H$49,'418'!$H$51,'418'!$H$53,'418'!$H$55:$H$59,'418'!$H$61</definedName>
    <definedName name="OSRRefH22x_0" localSheetId="82">'423'!$H$20:$H$21,'423'!$H$23,'423'!$H$25,'423'!$H$27</definedName>
    <definedName name="OSRRefH22x_0" localSheetId="83">'424'!$H$20,'424'!$H$22,'424'!$H$24,'424'!$H$26</definedName>
    <definedName name="OSRRefH22x_0" localSheetId="84">'425'!$H$22:$H$26,'425'!$H$28,'425'!$H$30,'425'!$H$32,'425'!$H$34,'425'!$H$36,'425'!$H$38,'425'!$H$40,'425'!$H$42</definedName>
    <definedName name="OSRRefH22x_0" localSheetId="87">'430'!$H$20:$H$27,'430'!$H$29,'430'!$H$31,'430'!$H$33,'430'!$H$35,'430'!$H$37:$H$38,'430'!$H$40,'430'!$H$42</definedName>
    <definedName name="OSRRefH22x_0" localSheetId="88">'433'!$H$25:$H$33,'433'!$H$35:$H$39,'433'!$H$41,'433'!$H$43,'433'!$H$45,'433'!$H$47,'433'!$H$49,'433'!$H$51,'433'!$H$53,'433'!$H$55,'433'!$H$57:$H$58,'433'!$H$60:$H$62,'433'!$H$64:$H$71,'433'!$H$73</definedName>
    <definedName name="OSRRefH22x_0" localSheetId="89">'435'!$H$20</definedName>
    <definedName name="OSRRefH22x_0" localSheetId="90">'444'!$H$25:$H$33,'444'!$H$35:$H$39,'444'!$H$41,'444'!$H$43,'444'!$H$45,'444'!$H$47,'444'!$H$49,'444'!$H$51,'444'!$H$53,'444'!$H$55,'444'!$H$57:$H$58,'444'!$H$60:$H$62,'444'!$H$64:$H$70,'444'!$H$72,'444'!$H$74</definedName>
    <definedName name="OSRRefH22x_0" localSheetId="91">'450'!$H$25:$H$33,'450'!$H$35:$H$39,'450'!$H$41,'450'!$H$43,'450'!$H$45,'450'!$H$47,'450'!$H$49,'450'!$H$51,'450'!$H$53,'450'!$H$55,'450'!$H$57,'450'!$H$59,'450'!$H$61:$H$62,'450'!$H$64:$H$66,'450'!$H$68:$H$73,'450'!$H$75,'450'!$H$77</definedName>
    <definedName name="OSRRefH22x_0" localSheetId="72">'491'!$H$27:$H$34,'491'!$H$36:$H$40,'491'!$H$42,'491'!$H$44,'491'!$H$46,'491'!$H$48:$H$49,'491'!$H$51,'491'!$H$53,'491'!$H$55,'491'!$H$57,'491'!$H$59,'491'!$H$61,'491'!$H$63,'491'!$H$65:$H$67,'491'!$H$69,'491'!$H$71:$H$74,'491'!$H$76,'491'!$H$78:$H$85,'491'!$H$87,'491'!$H$89,'491'!$H$91</definedName>
    <definedName name="OSRRefH22x_0" localSheetId="86">'492'!$H$25:$H$33,'492'!$H$35:$H$40,'492'!$H$42,'492'!$H$44,'492'!$H$46,'492'!$H$48,'492'!$H$50,'492'!$H$52,'492'!$H$54,'492'!$H$56,'492'!$H$58,'492'!$H$60,'492'!$H$62:$H$64,'492'!$H$66:$H$68,'492'!$H$70:$H$77,'492'!$H$79,'492'!$H$81,'492'!$H$83:$H$84</definedName>
    <definedName name="OSRRefH22x_0" localSheetId="93">'501'!$H$21:$H$29,'501'!$H$31:$H$36,'501'!$H$38,'501'!$H$40,'501'!$H$42:$H$43,'501'!$H$45,'501'!$H$47,'501'!$H$49:$H$50,'501'!$H$52:$H$53,'501'!$H$55,'501'!$H$57</definedName>
    <definedName name="OSRRefH22x_0" localSheetId="39">'Div 2'!$H$20:$H$29,'Div 2'!$H$31:$H$36,'Div 2'!$H$38,'Div 2'!$H$40,'Div 2'!$H$42,'Div 2'!$H$44,'Div 2'!$H$46,'Div 2'!$H$48,'Div 2'!$H$50,'Div 2'!$H$52:$H$53,'Div 2'!$H$55,'Div 2'!$H$57,'Div 2'!$H$59:$H$61,'Div 2'!$H$63:$H$66,'Div 2'!$H$68,'Div 2'!$H$70,'Div 2'!$H$72:$H$76,'Div 2'!$H$78:$H$79,'Div 2'!$H$81,'Div 2'!$H$83</definedName>
    <definedName name="OSRRefH22x_0" localSheetId="47">'Div 3'!$H$126:$H$135,'Div 3'!$H$137:$H$143,'Div 3'!$H$145,'Div 3'!$H$147,'Div 3'!$H$149,'Div 3'!$H$151:$H$152,'Div 3'!$H$154:$H$155,'Div 3'!$H$157,'Div 3'!$H$159,'Div 3'!$H$161,'Div 3'!$H$163:$H$164,'Div 3'!$H$166,'Div 3'!$H$168,'Div 3'!$H$170,'Div 3'!$H$172:$H$173,'Div 3'!$H$175,'Div 3'!$H$177,'Div 3'!$H$179:$H$182,'Div 3'!$H$184:$H$186,'Div 3'!$H$188:$H$192,'Div 3'!$H$194:$H$195,'Div 3'!$H$197:$H$203,'Div 3'!$H$205:$H$206,'Div 3'!$H$208,'Div 3'!$H$210:$H$212,'Div 3'!$H$214</definedName>
    <definedName name="OSRRefH22x_0" localSheetId="70">'Div 4'!$H$28:$H$36,'Div 4'!$H$38:$H$43,'Div 4'!$H$45,'Div 4'!$H$47,'Div 4'!$H$49,'Div 4'!$H$51:$H$52,'Div 4'!$H$54,'Div 4'!$H$56,'Div 4'!$H$58,'Div 4'!$H$60,'Div 4'!$H$62,'Div 4'!$H$64,'Div 4'!$H$66,'Div 4'!$H$68,'Div 4'!$H$70,'Div 4'!$H$72:$H$74,'Div 4'!$H$76,'Div 4'!$H$78:$H$81,'Div 4'!$H$83,'Div 4'!$H$85:$H$93,'Div 4'!$H$95,'Div 4'!$H$97,'Div 4'!$H$99:$H$100,'Div 4'!$H$102</definedName>
    <definedName name="OSRRefH22x_0" localSheetId="92">'Div 5'!$H$21:$H$29,'Div 5'!$H$31:$H$36,'Div 5'!$H$38,'Div 5'!$H$40,'Div 5'!$H$42:$H$43,'Div 5'!$H$45,'Div 5'!$H$47,'Div 5'!$H$49:$H$50,'Div 5'!$H$52:$H$53,'Div 5'!$H$55,'Div 5'!$H$57</definedName>
    <definedName name="OSRRefH22x_0" localSheetId="61">'Div 6'!$H$53:$H$61,'Div 6'!$H$63:$H$67,'Div 6'!$H$69,'Div 6'!$H$71,'Div 6'!$H$73,'Div 6'!$H$75:$H$76,'Div 6'!$H$78,'Div 6'!$H$80,'Div 6'!$H$82:$H$84,'Div 6'!$H$86,'Div 6'!$H$88</definedName>
    <definedName name="OSRRefH22x_0" localSheetId="2">Summary!$H$152:$H$161,Summary!$H$163:$H$169,Summary!$H$171,Summary!$H$173,Summary!$H$175,Summary!$H$177:$H$178,Summary!$H$180:$H$181,Summary!$H$183,Summary!$H$185,Summary!$H$187,Summary!$H$189:$H$190,Summary!$H$192,Summary!$H$194,Summary!$H$196,Summary!$H$198:$H$199,Summary!$H$201,Summary!$H$203,Summary!$H$205,Summary!$H$207:$H$210,Summary!$H$212:$H$214,Summary!$H$216:$H$220,Summary!$H$222:$H$223,Summary!$H$225:$H$233,Summary!$H$235:$H$236,Summary!$H$238,Summary!$H$240:$H$242,Summary!$H$244</definedName>
    <definedName name="OSRRefH25x_0" localSheetId="48">'300'!$H$209:$H$212</definedName>
    <definedName name="OSRRefH25x_0" localSheetId="49">'300 &amp; 317'!$H$231:$H$236</definedName>
    <definedName name="OSRRefH25x_0" localSheetId="50">'301'!$H$95</definedName>
    <definedName name="OSRRefH25x_0" localSheetId="53">'308'!$H$106:$H$108</definedName>
    <definedName name="OSRRefH25x_0" localSheetId="71">'310 &amp; 491'!$H$103:$H$105</definedName>
    <definedName name="OSRRefH25x_0" localSheetId="54">'311'!$H$106:$H$108</definedName>
    <definedName name="OSRRefH25x_0" localSheetId="57">'315'!$H$131:$H$132</definedName>
    <definedName name="OSRRefH25x_0" localSheetId="60">'316'!$H$74</definedName>
    <definedName name="OSRRefH25x_0" localSheetId="62">'317'!$H$91:$H$93</definedName>
    <definedName name="OSRRefH25x_0" localSheetId="56">'331'!$H$146:$H$147</definedName>
    <definedName name="OSRRefH25x_0" localSheetId="59">'332'!$H$76:$H$77</definedName>
    <definedName name="OSRRefH25x_0" localSheetId="75">'411'!$H$68:$H$69</definedName>
    <definedName name="OSRRefH25x_0" localSheetId="79">'415'!$H$77</definedName>
    <definedName name="OSRRefH25x_0" localSheetId="80">'418'!$H$64</definedName>
    <definedName name="OSRRefH25x_0" localSheetId="82">'423'!$H$30</definedName>
    <definedName name="OSRRefH25x_0" localSheetId="85">'455'!$H$21:$H$22</definedName>
    <definedName name="OSRRefH25x_0" localSheetId="72">'491'!$H$94:$H$96</definedName>
    <definedName name="OSRRefH25x_0" localSheetId="93">'501'!$H$60</definedName>
    <definedName name="OSRRefH25x_0" localSheetId="47">'Div 3'!$H$217:$H$220</definedName>
    <definedName name="OSRRefH25x_0" localSheetId="70">'Div 4'!$H$105:$H$107</definedName>
    <definedName name="OSRRefH25x_0" localSheetId="92">'Div 5'!$H$60</definedName>
    <definedName name="OSRRefH25x_0" localSheetId="61">'Div 6'!$H$91:$H$93</definedName>
    <definedName name="OSRRefH25x_0" localSheetId="2">Summary!$H$247:$H$254</definedName>
    <definedName name="OSRRefP13x_0" localSheetId="48">'300'!$P$13:$P$76</definedName>
    <definedName name="OSRRefP13x_0" localSheetId="49">'300 &amp; 317'!$P$13:$P$90</definedName>
    <definedName name="OSRRefP13x_0" localSheetId="52">'307'!$P$13:$P$25</definedName>
    <definedName name="OSRRefP13x_0" localSheetId="53">'308'!$P$13:$P$36</definedName>
    <definedName name="OSRRefP13x_0" localSheetId="63">'310'!$P$13:$P$21</definedName>
    <definedName name="OSRRefP13x_0" localSheetId="71">'310 &amp; 491'!$P$13:$P$25</definedName>
    <definedName name="OSRRefP13x_0" localSheetId="54">'311'!$P$13:$P$36</definedName>
    <definedName name="OSRRefP13x_0" localSheetId="65">'313'!$P$13:$P$16</definedName>
    <definedName name="OSRRefP13x_0" localSheetId="57">'315'!$P$13:$P$52</definedName>
    <definedName name="OSRRefP13x_0" localSheetId="60">'316'!$P$13:$P$23</definedName>
    <definedName name="OSRRefP13x_0" localSheetId="62">'317'!$P$13:$P$33</definedName>
    <definedName name="OSRRefP13x_0" localSheetId="66">'321'!$P$13:$P$14</definedName>
    <definedName name="OSRRefP13x_0" localSheetId="55">'324'!$P$13:$P$16</definedName>
    <definedName name="OSRRefP13x_0" localSheetId="68">'325'!$P$13:$P$14</definedName>
    <definedName name="OSRRefP13x_0" localSheetId="58">'326'!$P$13:$P$34</definedName>
    <definedName name="OSRRefP13x_0" localSheetId="69">'327'!$P$13:$P$14</definedName>
    <definedName name="OSRRefP13x_0" localSheetId="51">'330'!$P$13:$P$28</definedName>
    <definedName name="OSRRefP13x_0" localSheetId="56">'331'!$P$13:$P$52</definedName>
    <definedName name="OSRRefP13x_0" localSheetId="59">'332'!$P$13:$P$23</definedName>
    <definedName name="OSRRefP13x_0" localSheetId="73">'405'!$P$13:$P$14</definedName>
    <definedName name="OSRRefP13x_0" localSheetId="78">'414'!$P$13</definedName>
    <definedName name="OSRRefP13x_0" localSheetId="79">'415'!$P$13:$P$14</definedName>
    <definedName name="OSRRefP13x_0" localSheetId="81">'420'!$P$13</definedName>
    <definedName name="OSRRefP13x_0" localSheetId="84">'425'!$P$13</definedName>
    <definedName name="OSRRefP13x_0" localSheetId="88">'433'!$P$13:$P$15</definedName>
    <definedName name="OSRRefP13x_0" localSheetId="90">'444'!$P$13:$P$15</definedName>
    <definedName name="OSRRefP13x_0" localSheetId="91">'450'!$P$13:$P$15</definedName>
    <definedName name="OSRRefP13x_0" localSheetId="72">'491'!$P$13:$P$17</definedName>
    <definedName name="OSRRefP13x_0" localSheetId="86">'492'!$P$13:$P$15</definedName>
    <definedName name="OSRRefP13x_0" localSheetId="93">'501'!$P$13</definedName>
    <definedName name="OSRRefP13x_0" localSheetId="47">'Div 3'!$P$13:$P$79</definedName>
    <definedName name="OSRRefP13x_0" localSheetId="70">'Div 4'!$P$13:$P$18</definedName>
    <definedName name="OSRRefP13x_0" localSheetId="92">'Div 5'!$P$13</definedName>
    <definedName name="OSRRefP13x_0" localSheetId="61">'Div 6'!$P$13:$P$33</definedName>
    <definedName name="OSRRefP13x_0" localSheetId="2">Summary!$P$13:$P$97</definedName>
    <definedName name="OSRRefP16x_0" localSheetId="48">'300'!$P$79:$P$115</definedName>
    <definedName name="OSRRefP16x_0" localSheetId="49">'300 &amp; 317'!$P$93:$P$137</definedName>
    <definedName name="OSRRefP16x_0" localSheetId="50">'301'!$P$15</definedName>
    <definedName name="OSRRefP16x_0" localSheetId="52">'307'!$P$28:$P$37</definedName>
    <definedName name="OSRRefP16x_0" localSheetId="53">'308'!$P$39:$P$53</definedName>
    <definedName name="OSRRefP16x_0" localSheetId="63">'310'!$P$24:$P$25</definedName>
    <definedName name="OSRRefP16x_0" localSheetId="71">'310 &amp; 491'!$P$28:$P$29</definedName>
    <definedName name="OSRRefP16x_0" localSheetId="54">'311'!$P$39:$P$53</definedName>
    <definedName name="OSRRefP16x_0" localSheetId="65">'313'!$P$19</definedName>
    <definedName name="OSRRefP16x_0" localSheetId="57">'315'!$P$55:$P$78</definedName>
    <definedName name="OSRRefP16x_0" localSheetId="62">'317'!$P$36:$P$47</definedName>
    <definedName name="OSRRefP16x_0" localSheetId="66">'321'!$P$17</definedName>
    <definedName name="OSRRefP16x_0" localSheetId="67">'322'!$P$15</definedName>
    <definedName name="OSRRefP16x_0" localSheetId="55">'324'!$P$19:$P$21</definedName>
    <definedName name="OSRRefP16x_0" localSheetId="68">'325'!$P$17:$P$18</definedName>
    <definedName name="OSRRefP16x_0" localSheetId="58">'326'!$P$37:$P$43</definedName>
    <definedName name="OSRRefP16x_0" localSheetId="69">'327'!$P$17:$P$18</definedName>
    <definedName name="OSRRefP16x_0" localSheetId="51">'330'!$P$31:$P$40</definedName>
    <definedName name="OSRRefP16x_0" localSheetId="56">'331'!$P$55:$P$78</definedName>
    <definedName name="OSRRefP16x_0" localSheetId="59">'332'!$P$26:$P$27</definedName>
    <definedName name="OSRRefP16x_0" localSheetId="73">'405'!$P$17:$P$18</definedName>
    <definedName name="OSRRefP16x_0" localSheetId="79">'415'!$P$17:$P$18</definedName>
    <definedName name="OSRRefP16x_0" localSheetId="80">'418'!$P$15</definedName>
    <definedName name="OSRRefP16x_0" localSheetId="84">'425'!$P$16</definedName>
    <definedName name="OSRRefP16x_0" localSheetId="88">'433'!$P$18:$P$19</definedName>
    <definedName name="OSRRefP16x_0" localSheetId="90">'444'!$P$18:$P$19</definedName>
    <definedName name="OSRRefP16x_0" localSheetId="91">'450'!$P$18:$P$19</definedName>
    <definedName name="OSRRefP16x_0" localSheetId="72">'491'!$P$20:$P$21</definedName>
    <definedName name="OSRRefP16x_0" localSheetId="86">'492'!$P$18:$P$19</definedName>
    <definedName name="OSRRefP16x_0" localSheetId="47">'Div 3'!$P$82:$P$120</definedName>
    <definedName name="OSRRefP16x_0" localSheetId="70">'Div 4'!$P$21:$P$22</definedName>
    <definedName name="OSRRefP16x_0" localSheetId="61">'Div 6'!$P$36:$P$47</definedName>
    <definedName name="OSRRefP16x_0" localSheetId="2">Summary!$P$100:$P$146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'300'!$P$121:$P$130</definedName>
    <definedName name="OSRRefP22_0x_0" localSheetId="49">'300 &amp; 317'!$P$143:$P$152</definedName>
    <definedName name="OSRRefP22_0x_0" localSheetId="50">'301'!$P$21:$P$30</definedName>
    <definedName name="OSRRefP22_0x_0" localSheetId="52">'307'!$P$43:$P$45</definedName>
    <definedName name="OSRRefP22_0x_0" localSheetId="53">'308'!$P$59:$P$67</definedName>
    <definedName name="OSRRefP22_0x_0" localSheetId="64">'309'!$P$20</definedName>
    <definedName name="OSRRefP22_0x_0" localSheetId="63">'310'!$P$31:$P$38</definedName>
    <definedName name="OSRRefP22_0x_0" localSheetId="71">'310 &amp; 491'!$P$35:$P$42</definedName>
    <definedName name="OSRRefP22_0x_0" localSheetId="54">'311'!$P$59:$P$67</definedName>
    <definedName name="OSRRefP22_0x_0" localSheetId="65">'313'!$P$25:$P$32</definedName>
    <definedName name="OSRRefP22_0x_0" localSheetId="57">'315'!$P$84:$P$91</definedName>
    <definedName name="OSRRefP22_0x_0" localSheetId="60">'316'!$P$31:$P$38</definedName>
    <definedName name="OSRRefP22_0x_0" localSheetId="62">'317'!$P$53:$P$61</definedName>
    <definedName name="OSRRefP22_0x_0" localSheetId="66">'321'!$P$23:$P$30</definedName>
    <definedName name="OSRRefP22_0x_0" localSheetId="67">'322'!$P$21:$P$25</definedName>
    <definedName name="OSRRefP22_0x_0" localSheetId="68">'325'!$P$24:$P$31</definedName>
    <definedName name="OSRRefP22_0x_0" localSheetId="58">'326'!$P$49:$P$56</definedName>
    <definedName name="OSRRefP22_0x_0" localSheetId="69">'327'!$P$24</definedName>
    <definedName name="OSRRefP22_0x_0" localSheetId="51">'330'!$P$46:$P$49</definedName>
    <definedName name="OSRRefP22_0x_0" localSheetId="56">'331'!$P$84:$P$91</definedName>
    <definedName name="OSRRefP22_0x_0" localSheetId="59">'332'!$P$33:$P$40</definedName>
    <definedName name="OSRRefP22_0x_0" localSheetId="73">'405'!$P$24:$P$31</definedName>
    <definedName name="OSRRefP22_0x_0" localSheetId="74">'406'!$P$20</definedName>
    <definedName name="OSRRefP22_0x_0" localSheetId="75">'411'!$P$20:$P$27</definedName>
    <definedName name="OSRRefP22_0x_0" localSheetId="76">'412'!$P$20</definedName>
    <definedName name="OSRRefP22_0x_0" localSheetId="77">'413'!$P$20:$P$24</definedName>
    <definedName name="OSRRefP22_0x_0" localSheetId="78">'414'!$P$21</definedName>
    <definedName name="OSRRefP22_0x_0" localSheetId="79">'415'!$P$24:$P$31</definedName>
    <definedName name="OSRRefP22_0x_0" localSheetId="80">'418'!$P$21:$P$28</definedName>
    <definedName name="OSRRefP22_0x_0" localSheetId="82">'423'!$P$20:$P$21</definedName>
    <definedName name="OSRRefP22_0x_0" localSheetId="83">'424'!$P$20</definedName>
    <definedName name="OSRRefP22_0x_0" localSheetId="84">'425'!$P$22:$P$26</definedName>
    <definedName name="OSRRefP22_0x_0" localSheetId="87">'430'!$P$20:$P$27</definedName>
    <definedName name="OSRRefP22_0x_0" localSheetId="88">'433'!$P$25:$P$33</definedName>
    <definedName name="OSRRefP22_0x_0" localSheetId="89">'435'!$P$20</definedName>
    <definedName name="OSRRefP22_0x_0" localSheetId="90">'444'!$P$25:$P$33</definedName>
    <definedName name="OSRRefP22_0x_0" localSheetId="91">'450'!$P$25:$P$33</definedName>
    <definedName name="OSRRefP22_0x_0" localSheetId="72">'491'!$P$27:$P$34</definedName>
    <definedName name="OSRRefP22_0x_0" localSheetId="86">'492'!$P$25:$P$33</definedName>
    <definedName name="OSRRefP22_0x_0" localSheetId="93">'501'!$P$21:$P$29</definedName>
    <definedName name="OSRRefP22_0x_0" localSheetId="39">'Div 2'!$P$20:$P$29</definedName>
    <definedName name="OSRRefP22_0x_0" localSheetId="47">'Div 3'!$P$126:$P$135</definedName>
    <definedName name="OSRRefP22_0x_0" localSheetId="70">'Div 4'!$P$28:$P$36</definedName>
    <definedName name="OSRRefP22_0x_0" localSheetId="92">'Div 5'!$P$21:$P$29</definedName>
    <definedName name="OSRRefP22_0x_0" localSheetId="61">'Div 6'!$P$53:$P$61</definedName>
    <definedName name="OSRRefP22_0x_0" localSheetId="2">Summary!$P$152:$P$161</definedName>
    <definedName name="OSRRefP22_10x_0" localSheetId="41">'201'!$P$51</definedName>
    <definedName name="OSRRefP22_10x_0" localSheetId="42">'202'!$P$53</definedName>
    <definedName name="OSRRefP22_10x_0" localSheetId="43">'203'!$P$53:$P$56</definedName>
    <definedName name="OSRRefP22_10x_0" localSheetId="48">'300'!$P$158:$P$159</definedName>
    <definedName name="OSRRefP22_10x_0" localSheetId="49">'300 &amp; 317'!$P$180:$P$181</definedName>
    <definedName name="OSRRefP22_10x_0" localSheetId="50">'301'!$P$57</definedName>
    <definedName name="OSRRefP22_10x_0" localSheetId="52">'307'!$P$70:$P$73</definedName>
    <definedName name="OSRRefP22_10x_0" localSheetId="53">'308'!$P$95</definedName>
    <definedName name="OSRRefP22_10x_0" localSheetId="63">'310'!$P$61:$P$62</definedName>
    <definedName name="OSRRefP22_10x_0" localSheetId="71">'310 &amp; 491'!$P$68</definedName>
    <definedName name="OSRRefP22_10x_0" localSheetId="54">'311'!$P$95</definedName>
    <definedName name="OSRRefP22_10x_0" localSheetId="57">'315'!$P$120</definedName>
    <definedName name="OSRRefP22_10x_0" localSheetId="60">'316'!$P$63:$P$67</definedName>
    <definedName name="OSRRefP22_10x_0" localSheetId="62">'317'!$P$88</definedName>
    <definedName name="OSRRefP22_10x_0" localSheetId="66">'321'!$P$58</definedName>
    <definedName name="OSRRefP22_10x_0" localSheetId="68">'325'!$P$55:$P$57</definedName>
    <definedName name="OSRRefP22_10x_0" localSheetId="58">'326'!$P$80:$P$82</definedName>
    <definedName name="OSRRefP22_10x_0" localSheetId="51">'330'!$P$75:$P$78</definedName>
    <definedName name="OSRRefP22_10x_0" localSheetId="56">'331'!$P$118</definedName>
    <definedName name="OSRRefP22_10x_0" localSheetId="59">'332'!$P$65:$P$69</definedName>
    <definedName name="OSRRefP22_10x_0" localSheetId="73">'405'!$P$55:$P$56</definedName>
    <definedName name="OSRRefP22_10x_0" localSheetId="75">'411'!$P$54:$P$56</definedName>
    <definedName name="OSRRefP22_10x_0" localSheetId="79">'415'!$P$55:$P$56</definedName>
    <definedName name="OSRRefP22_10x_0" localSheetId="80">'418'!$P$53</definedName>
    <definedName name="OSRRefP22_10x_0" localSheetId="88">'433'!$P$57:$P$58</definedName>
    <definedName name="OSRRefP22_10x_0" localSheetId="90">'444'!$P$57:$P$58</definedName>
    <definedName name="OSRRefP22_10x_0" localSheetId="91">'450'!$P$57</definedName>
    <definedName name="OSRRefP22_10x_0" localSheetId="72">'491'!$P$59</definedName>
    <definedName name="OSRRefP22_10x_0" localSheetId="86">'492'!$P$58</definedName>
    <definedName name="OSRRefP22_10x_0" localSheetId="93">'501'!$P$57</definedName>
    <definedName name="OSRRefP22_10x_0" localSheetId="39">'Div 2'!$P$55</definedName>
    <definedName name="OSRRefP22_10x_0" localSheetId="47">'Div 3'!$P$163:$P$164</definedName>
    <definedName name="OSRRefP22_10x_0" localSheetId="70">'Div 4'!$P$62</definedName>
    <definedName name="OSRRefP22_10x_0" localSheetId="92">'Div 5'!$P$57</definedName>
    <definedName name="OSRRefP22_10x_0" localSheetId="61">'Div 6'!$P$88</definedName>
    <definedName name="OSRRefP22_10x_0" localSheetId="2">Summary!$P$189:$P$190</definedName>
    <definedName name="OSRRefP22_11x_0" localSheetId="41">'201'!$P$53:$P$54</definedName>
    <definedName name="OSRRefP22_11x_0" localSheetId="42">'202'!$P$55</definedName>
    <definedName name="OSRRefP22_11x_0" localSheetId="43">'203'!$P$58</definedName>
    <definedName name="OSRRefP22_11x_0" localSheetId="48">'300'!$P$161</definedName>
    <definedName name="OSRRefP22_11x_0" localSheetId="49">'300 &amp; 317'!$P$183</definedName>
    <definedName name="OSRRefP22_11x_0" localSheetId="50">'301'!$P$59</definedName>
    <definedName name="OSRRefP22_11x_0" localSheetId="52">'307'!$P$75</definedName>
    <definedName name="OSRRefP22_11x_0" localSheetId="53">'308'!$P$97:$P$98</definedName>
    <definedName name="OSRRefP22_11x_0" localSheetId="63">'310'!$P$64</definedName>
    <definedName name="OSRRefP22_11x_0" localSheetId="71">'310 &amp; 491'!$P$70</definedName>
    <definedName name="OSRRefP22_11x_0" localSheetId="54">'311'!$P$97:$P$98</definedName>
    <definedName name="OSRRefP22_11x_0" localSheetId="57">'315'!$P$122:$P$124</definedName>
    <definedName name="OSRRefP22_11x_0" localSheetId="60">'316'!$P$69</definedName>
    <definedName name="OSRRefP22_11x_0" localSheetId="66">'321'!$P$60</definedName>
    <definedName name="OSRRefP22_11x_0" localSheetId="68">'325'!$P$59:$P$62</definedName>
    <definedName name="OSRRefP22_11x_0" localSheetId="58">'326'!$P$84:$P$85</definedName>
    <definedName name="OSRRefP22_11x_0" localSheetId="51">'330'!$P$80</definedName>
    <definedName name="OSRRefP22_11x_0" localSheetId="56">'331'!$P$120</definedName>
    <definedName name="OSRRefP22_11x_0" localSheetId="59">'332'!$P$71</definedName>
    <definedName name="OSRRefP22_11x_0" localSheetId="73">'405'!$P$58:$P$61</definedName>
    <definedName name="OSRRefP22_11x_0" localSheetId="75">'411'!$P$58:$P$59</definedName>
    <definedName name="OSRRefP22_11x_0" localSheetId="79">'415'!$P$58:$P$61</definedName>
    <definedName name="OSRRefP22_11x_0" localSheetId="80">'418'!$P$55:$P$59</definedName>
    <definedName name="OSRRefP22_11x_0" localSheetId="88">'433'!$P$60:$P$62</definedName>
    <definedName name="OSRRefP22_11x_0" localSheetId="90">'444'!$P$60:$P$62</definedName>
    <definedName name="OSRRefP22_11x_0" localSheetId="91">'450'!$P$59</definedName>
    <definedName name="OSRRefP22_11x_0" localSheetId="72">'491'!$P$61</definedName>
    <definedName name="OSRRefP22_11x_0" localSheetId="86">'492'!$P$60</definedName>
    <definedName name="OSRRefP22_11x_0" localSheetId="39">'Div 2'!$P$57</definedName>
    <definedName name="OSRRefP22_11x_0" localSheetId="47">'Div 3'!$P$166</definedName>
    <definedName name="OSRRefP22_11x_0" localSheetId="70">'Div 4'!$P$64</definedName>
    <definedName name="OSRRefP22_11x_0" localSheetId="2">Summary!$P$192</definedName>
    <definedName name="OSRRefP22_12x_0" localSheetId="41">'201'!$P$56</definedName>
    <definedName name="OSRRefP22_12x_0" localSheetId="43">'203'!$P$60</definedName>
    <definedName name="OSRRefP22_12x_0" localSheetId="48">'300'!$P$163</definedName>
    <definedName name="OSRRefP22_12x_0" localSheetId="49">'300 &amp; 317'!$P$185</definedName>
    <definedName name="OSRRefP22_12x_0" localSheetId="50">'301'!$P$61</definedName>
    <definedName name="OSRRefP22_12x_0" localSheetId="52">'307'!$P$77</definedName>
    <definedName name="OSRRefP22_12x_0" localSheetId="53">'308'!$P$100:$P$101</definedName>
    <definedName name="OSRRefP22_12x_0" localSheetId="63">'310'!$P$66:$P$68</definedName>
    <definedName name="OSRRefP22_12x_0" localSheetId="71">'310 &amp; 491'!$P$72</definedName>
    <definedName name="OSRRefP22_12x_0" localSheetId="54">'311'!$P$100:$P$101</definedName>
    <definedName name="OSRRefP22_12x_0" localSheetId="57">'315'!$P$126</definedName>
    <definedName name="OSRRefP22_12x_0" localSheetId="60">'316'!$P$71</definedName>
    <definedName name="OSRRefP22_12x_0" localSheetId="68">'325'!$P$64</definedName>
    <definedName name="OSRRefP22_12x_0" localSheetId="58">'326'!$P$87</definedName>
    <definedName name="OSRRefP22_12x_0" localSheetId="51">'330'!$P$82</definedName>
    <definedName name="OSRRefP22_12x_0" localSheetId="56">'331'!$P$122:$P$124</definedName>
    <definedName name="OSRRefP22_12x_0" localSheetId="59">'332'!$P$73</definedName>
    <definedName name="OSRRefP22_12x_0" localSheetId="73">'405'!$P$63</definedName>
    <definedName name="OSRRefP22_12x_0" localSheetId="75">'411'!$P$61</definedName>
    <definedName name="OSRRefP22_12x_0" localSheetId="79">'415'!$P$63</definedName>
    <definedName name="OSRRefP22_12x_0" localSheetId="80">'418'!$P$61</definedName>
    <definedName name="OSRRefP22_12x_0" localSheetId="88">'433'!$P$64:$P$71</definedName>
    <definedName name="OSRRefP22_12x_0" localSheetId="90">'444'!$P$64:$P$70</definedName>
    <definedName name="OSRRefP22_12x_0" localSheetId="91">'450'!$P$61:$P$62</definedName>
    <definedName name="OSRRefP22_12x_0" localSheetId="72">'491'!$P$63</definedName>
    <definedName name="OSRRefP22_12x_0" localSheetId="86">'492'!$P$62:$P$64</definedName>
    <definedName name="OSRRefP22_12x_0" localSheetId="39">'Div 2'!$P$59:$P$61</definedName>
    <definedName name="OSRRefP22_12x_0" localSheetId="47">'Div 3'!$P$168</definedName>
    <definedName name="OSRRefP22_12x_0" localSheetId="70">'Div 4'!$P$66</definedName>
    <definedName name="OSRRefP22_12x_0" localSheetId="2">Summary!$P$194</definedName>
    <definedName name="OSRRefP22_13x_0" localSheetId="48">'300'!$P$165:$P$166</definedName>
    <definedName name="OSRRefP22_13x_0" localSheetId="49">'300 &amp; 317'!$P$187:$P$188</definedName>
    <definedName name="OSRRefP22_13x_0" localSheetId="50">'301'!$P$63</definedName>
    <definedName name="OSRRefP22_13x_0" localSheetId="53">'308'!$P$103</definedName>
    <definedName name="OSRRefP22_13x_0" localSheetId="63">'310'!$P$70:$P$74</definedName>
    <definedName name="OSRRefP22_13x_0" localSheetId="71">'310 &amp; 491'!$P$74:$P$76</definedName>
    <definedName name="OSRRefP22_13x_0" localSheetId="54">'311'!$P$103</definedName>
    <definedName name="OSRRefP22_13x_0" localSheetId="57">'315'!$P$128</definedName>
    <definedName name="OSRRefP22_13x_0" localSheetId="68">'325'!$P$66</definedName>
    <definedName name="OSRRefP22_13x_0" localSheetId="58">'326'!$P$89:$P$92</definedName>
    <definedName name="OSRRefP22_13x_0" localSheetId="56">'331'!$P$126:$P$127</definedName>
    <definedName name="OSRRefP22_13x_0" localSheetId="73">'405'!$P$65:$P$71</definedName>
    <definedName name="OSRRefP22_13x_0" localSheetId="75">'411'!$P$63</definedName>
    <definedName name="OSRRefP22_13x_0" localSheetId="79">'415'!$P$65:$P$70</definedName>
    <definedName name="OSRRefP22_13x_0" localSheetId="88">'433'!$P$73</definedName>
    <definedName name="OSRRefP22_13x_0" localSheetId="90">'444'!$P$72</definedName>
    <definedName name="OSRRefP22_13x_0" localSheetId="91">'450'!$P$64:$P$66</definedName>
    <definedName name="OSRRefP22_13x_0" localSheetId="72">'491'!$P$65:$P$67</definedName>
    <definedName name="OSRRefP22_13x_0" localSheetId="86">'492'!$P$66:$P$68</definedName>
    <definedName name="OSRRefP22_13x_0" localSheetId="39">'Div 2'!$P$63:$P$66</definedName>
    <definedName name="OSRRefP22_13x_0" localSheetId="47">'Div 3'!$P$170</definedName>
    <definedName name="OSRRefP22_13x_0" localSheetId="70">'Div 4'!$P$68</definedName>
    <definedName name="OSRRefP22_13x_0" localSheetId="2">Summary!$P$196</definedName>
    <definedName name="OSRRefP22_14x_0" localSheetId="48">'300'!$P$168</definedName>
    <definedName name="OSRRefP22_14x_0" localSheetId="49">'300 &amp; 317'!$P$190</definedName>
    <definedName name="OSRRefP22_14x_0" localSheetId="50">'301'!$P$65</definedName>
    <definedName name="OSRRefP22_14x_0" localSheetId="63">'310'!$P$76</definedName>
    <definedName name="OSRRefP22_14x_0" localSheetId="71">'310 &amp; 491'!$P$78</definedName>
    <definedName name="OSRRefP22_14x_0" localSheetId="58">'326'!$P$94</definedName>
    <definedName name="OSRRefP22_14x_0" localSheetId="56">'331'!$P$129:$P$130</definedName>
    <definedName name="OSRRefP22_14x_0" localSheetId="73">'405'!$P$73</definedName>
    <definedName name="OSRRefP22_14x_0" localSheetId="75">'411'!$P$65</definedName>
    <definedName name="OSRRefP22_14x_0" localSheetId="79">'415'!$P$72</definedName>
    <definedName name="OSRRefP22_14x_0" localSheetId="90">'444'!$P$74</definedName>
    <definedName name="OSRRefP22_14x_0" localSheetId="91">'450'!$P$68:$P$73</definedName>
    <definedName name="OSRRefP22_14x_0" localSheetId="72">'491'!$P$69</definedName>
    <definedName name="OSRRefP22_14x_0" localSheetId="86">'492'!$P$70:$P$77</definedName>
    <definedName name="OSRRefP22_14x_0" localSheetId="39">'Div 2'!$P$68</definedName>
    <definedName name="OSRRefP22_14x_0" localSheetId="47">'Div 3'!$P$172:$P$173</definedName>
    <definedName name="OSRRefP22_14x_0" localSheetId="70">'Div 4'!$P$70</definedName>
    <definedName name="OSRRefP22_14x_0" localSheetId="2">Summary!$P$198:$P$199</definedName>
    <definedName name="OSRRefP22_15x_0" localSheetId="48">'300'!$P$170</definedName>
    <definedName name="OSRRefP22_15x_0" localSheetId="49">'300 &amp; 317'!$P$192</definedName>
    <definedName name="OSRRefP22_15x_0" localSheetId="50">'301'!$P$67:$P$70</definedName>
    <definedName name="OSRRefP22_15x_0" localSheetId="63">'310'!$P$78</definedName>
    <definedName name="OSRRefP22_15x_0" localSheetId="71">'310 &amp; 491'!$P$80:$P$83</definedName>
    <definedName name="OSRRefP22_15x_0" localSheetId="58">'326'!$P$96</definedName>
    <definedName name="OSRRefP22_15x_0" localSheetId="56">'331'!$P$132</definedName>
    <definedName name="OSRRefP22_15x_0" localSheetId="73">'405'!$P$75</definedName>
    <definedName name="OSRRefP22_15x_0" localSheetId="79">'415'!$P$74</definedName>
    <definedName name="OSRRefP22_15x_0" localSheetId="91">'450'!$P$75</definedName>
    <definedName name="OSRRefP22_15x_0" localSheetId="72">'491'!$P$71:$P$74</definedName>
    <definedName name="OSRRefP22_15x_0" localSheetId="86">'492'!$P$79</definedName>
    <definedName name="OSRRefP22_15x_0" localSheetId="39">'Div 2'!$P$70</definedName>
    <definedName name="OSRRefP22_15x_0" localSheetId="47">'Div 3'!$P$175</definedName>
    <definedName name="OSRRefP22_15x_0" localSheetId="70">'Div 4'!$P$72:$P$74</definedName>
    <definedName name="OSRRefP22_15x_0" localSheetId="2">Summary!$P$201</definedName>
    <definedName name="OSRRefP22_16x_0" localSheetId="48">'300'!$P$172:$P$175</definedName>
    <definedName name="OSRRefP22_16x_0" localSheetId="49">'300 &amp; 317'!$P$194:$P$197</definedName>
    <definedName name="OSRRefP22_16x_0" localSheetId="50">'301'!$P$72:$P$74</definedName>
    <definedName name="OSRRefP22_16x_0" localSheetId="71">'310 &amp; 491'!$P$85</definedName>
    <definedName name="OSRRefP22_16x_0" localSheetId="58">'326'!$P$98</definedName>
    <definedName name="OSRRefP22_16x_0" localSheetId="56">'331'!$P$134:$P$137</definedName>
    <definedName name="OSRRefP22_16x_0" localSheetId="91">'450'!$P$77</definedName>
    <definedName name="OSRRefP22_16x_0" localSheetId="72">'491'!$P$76</definedName>
    <definedName name="OSRRefP22_16x_0" localSheetId="86">'492'!$P$81</definedName>
    <definedName name="OSRRefP22_16x_0" localSheetId="39">'Div 2'!$P$72:$P$76</definedName>
    <definedName name="OSRRefP22_16x_0" localSheetId="47">'Div 3'!$P$177</definedName>
    <definedName name="OSRRefP22_16x_0" localSheetId="70">'Div 4'!$P$76</definedName>
    <definedName name="OSRRefP22_16x_0" localSheetId="2">Summary!$P$203</definedName>
    <definedName name="OSRRefP22_17x_0" localSheetId="48">'300'!$P$177:$P$179</definedName>
    <definedName name="OSRRefP22_17x_0" localSheetId="49">'300 &amp; 317'!$P$199:$P$201</definedName>
    <definedName name="OSRRefP22_17x_0" localSheetId="50">'301'!$P$76</definedName>
    <definedName name="OSRRefP22_17x_0" localSheetId="71">'310 &amp; 491'!$P$87:$P$94</definedName>
    <definedName name="OSRRefP22_17x_0" localSheetId="56">'331'!$P$139</definedName>
    <definedName name="OSRRefP22_17x_0" localSheetId="72">'491'!$P$78:$P$85</definedName>
    <definedName name="OSRRefP22_17x_0" localSheetId="86">'492'!$P$83:$P$84</definedName>
    <definedName name="OSRRefP22_17x_0" localSheetId="39">'Div 2'!$P$78:$P$79</definedName>
    <definedName name="OSRRefP22_17x_0" localSheetId="47">'Div 3'!$P$179:$P$182</definedName>
    <definedName name="OSRRefP22_17x_0" localSheetId="70">'Div 4'!$P$78:$P$81</definedName>
    <definedName name="OSRRefP22_17x_0" localSheetId="2">Summary!$P$205</definedName>
    <definedName name="OSRRefP22_18x_0" localSheetId="48">'300'!$P$181:$P$184</definedName>
    <definedName name="OSRRefP22_18x_0" localSheetId="49">'300 &amp; 317'!$P$203:$P$206</definedName>
    <definedName name="OSRRefP22_18x_0" localSheetId="50">'301'!$P$78:$P$83</definedName>
    <definedName name="OSRRefP22_18x_0" localSheetId="71">'310 &amp; 491'!$P$96</definedName>
    <definedName name="OSRRefP22_18x_0" localSheetId="56">'331'!$P$141</definedName>
    <definedName name="OSRRefP22_18x_0" localSheetId="72">'491'!$P$87</definedName>
    <definedName name="OSRRefP22_18x_0" localSheetId="39">'Div 2'!$P$81</definedName>
    <definedName name="OSRRefP22_18x_0" localSheetId="47">'Div 3'!$P$184:$P$186</definedName>
    <definedName name="OSRRefP22_18x_0" localSheetId="70">'Div 4'!$P$83</definedName>
    <definedName name="OSRRefP22_18x_0" localSheetId="2">Summary!$P$207:$P$210</definedName>
    <definedName name="OSRRefP22_19x_0" localSheetId="48">'300'!$P$186:$P$187</definedName>
    <definedName name="OSRRefP22_19x_0" localSheetId="49">'300 &amp; 317'!$P$208:$P$209</definedName>
    <definedName name="OSRRefP22_19x_0" localSheetId="50">'301'!$P$85</definedName>
    <definedName name="OSRRefP22_19x_0" localSheetId="71">'310 &amp; 491'!$P$98</definedName>
    <definedName name="OSRRefP22_19x_0" localSheetId="56">'331'!$P$143</definedName>
    <definedName name="OSRRefP22_19x_0" localSheetId="72">'491'!$P$89</definedName>
    <definedName name="OSRRefP22_19x_0" localSheetId="39">'Div 2'!$P$83</definedName>
    <definedName name="OSRRefP22_19x_0" localSheetId="47">'Div 3'!$P$188:$P$192</definedName>
    <definedName name="OSRRefP22_19x_0" localSheetId="70">'Div 4'!$P$85:$P$93</definedName>
    <definedName name="OSRRefP22_19x_0" localSheetId="2">Summary!$P$212:$P$214</definedName>
    <definedName name="OSRRefP22_1x_0" localSheetId="40">'200'!$P$22</definedName>
    <definedName name="OSRRefP22_1x_0" localSheetId="41">'201'!$P$29:$P$31</definedName>
    <definedName name="OSRRefP22_1x_0" localSheetId="42">'202'!$P$29:$P$31</definedName>
    <definedName name="OSRRefP22_1x_0" localSheetId="43">'203'!$P$30:$P$33</definedName>
    <definedName name="OSRRefP22_1x_0" localSheetId="44">'204'!$P$30:$P$32</definedName>
    <definedName name="OSRRefP22_1x_0" localSheetId="45">'205'!$P$29</definedName>
    <definedName name="OSRRefP22_1x_0" localSheetId="46">'206'!$P$28:$P$30</definedName>
    <definedName name="OSRRefP22_1x_0" localSheetId="48">'300'!$P$132:$P$138</definedName>
    <definedName name="OSRRefP22_1x_0" localSheetId="49">'300 &amp; 317'!$P$154:$P$160</definedName>
    <definedName name="OSRRefP22_1x_0" localSheetId="50">'301'!$P$32:$P$38</definedName>
    <definedName name="OSRRefP22_1x_0" localSheetId="52">'307'!$P$47:$P$49</definedName>
    <definedName name="OSRRefP22_1x_0" localSheetId="53">'308'!$P$69:$P$75</definedName>
    <definedName name="OSRRefP22_1x_0" localSheetId="64">'309'!$P$22:$P$23</definedName>
    <definedName name="OSRRefP22_1x_0" localSheetId="63">'310'!$P$40:$P$42</definedName>
    <definedName name="OSRRefP22_1x_0" localSheetId="71">'310 &amp; 491'!$P$44:$P$48</definedName>
    <definedName name="OSRRefP22_1x_0" localSheetId="54">'311'!$P$69:$P$75</definedName>
    <definedName name="OSRRefP22_1x_0" localSheetId="65">'313'!$P$34</definedName>
    <definedName name="OSRRefP22_1x_0" localSheetId="57">'315'!$P$93:$P$97</definedName>
    <definedName name="OSRRefP22_1x_0" localSheetId="60">'316'!$P$40:$P$42</definedName>
    <definedName name="OSRRefP22_1x_0" localSheetId="62">'317'!$P$63:$P$67</definedName>
    <definedName name="OSRRefP22_1x_0" localSheetId="66">'321'!$P$32:$P$34</definedName>
    <definedName name="OSRRefP22_1x_0" localSheetId="67">'322'!$P$27</definedName>
    <definedName name="OSRRefP22_1x_0" localSheetId="68">'325'!$P$33:$P$35</definedName>
    <definedName name="OSRRefP22_1x_0" localSheetId="58">'326'!$P$58:$P$62</definedName>
    <definedName name="OSRRefP22_1x_0" localSheetId="51">'330'!$P$51:$P$53</definedName>
    <definedName name="OSRRefP22_1x_0" localSheetId="56">'331'!$P$93:$P$97</definedName>
    <definedName name="OSRRefP22_1x_0" localSheetId="59">'332'!$P$42:$P$44</definedName>
    <definedName name="OSRRefP22_1x_0" localSheetId="73">'405'!$P$33:$P$36</definedName>
    <definedName name="OSRRefP22_1x_0" localSheetId="74">'406'!$P$22</definedName>
    <definedName name="OSRRefP22_1x_0" localSheetId="75">'411'!$P$29:$P$33</definedName>
    <definedName name="OSRRefP22_1x_0" localSheetId="76">'412'!$P$22</definedName>
    <definedName name="OSRRefP22_1x_0" localSheetId="77">'413'!$P$26</definedName>
    <definedName name="OSRRefP22_1x_0" localSheetId="78">'414'!$P$23</definedName>
    <definedName name="OSRRefP22_1x_0" localSheetId="79">'415'!$P$33:$P$36</definedName>
    <definedName name="OSRRefP22_1x_0" localSheetId="80">'418'!$P$30:$P$33</definedName>
    <definedName name="OSRRefP22_1x_0" localSheetId="82">'423'!$P$23</definedName>
    <definedName name="OSRRefP22_1x_0" localSheetId="83">'424'!$P$22</definedName>
    <definedName name="OSRRefP22_1x_0" localSheetId="84">'425'!$P$28</definedName>
    <definedName name="OSRRefP22_1x_0" localSheetId="87">'430'!$P$29</definedName>
    <definedName name="OSRRefP22_1x_0" localSheetId="88">'433'!$P$35:$P$39</definedName>
    <definedName name="OSRRefP22_1x_0" localSheetId="90">'444'!$P$35:$P$39</definedName>
    <definedName name="OSRRefP22_1x_0" localSheetId="91">'450'!$P$35:$P$39</definedName>
    <definedName name="OSRRefP22_1x_0" localSheetId="72">'491'!$P$36:$P$40</definedName>
    <definedName name="OSRRefP22_1x_0" localSheetId="86">'492'!$P$35:$P$40</definedName>
    <definedName name="OSRRefP22_1x_0" localSheetId="93">'501'!$P$31:$P$36</definedName>
    <definedName name="OSRRefP22_1x_0" localSheetId="39">'Div 2'!$P$31:$P$36</definedName>
    <definedName name="OSRRefP22_1x_0" localSheetId="47">'Div 3'!$P$137:$P$143</definedName>
    <definedName name="OSRRefP22_1x_0" localSheetId="70">'Div 4'!$P$38:$P$43</definedName>
    <definedName name="OSRRefP22_1x_0" localSheetId="92">'Div 5'!$P$31:$P$36</definedName>
    <definedName name="OSRRefP22_1x_0" localSheetId="61">'Div 6'!$P$63:$P$67</definedName>
    <definedName name="OSRRefP22_1x_0" localSheetId="2">Summary!$P$163:$P$169</definedName>
    <definedName name="OSRRefP22_20x_0" localSheetId="48">'300'!$P$189:$P$195</definedName>
    <definedName name="OSRRefP22_20x_0" localSheetId="49">'300 &amp; 317'!$P$211:$P$217</definedName>
    <definedName name="OSRRefP22_20x_0" localSheetId="50">'301'!$P$87</definedName>
    <definedName name="OSRRefP22_20x_0" localSheetId="71">'310 &amp; 491'!$P$100</definedName>
    <definedName name="OSRRefP22_20x_0" localSheetId="72">'491'!$P$91</definedName>
    <definedName name="OSRRefP22_20x_0" localSheetId="47">'Div 3'!$P$194:$P$195</definedName>
    <definedName name="OSRRefP22_20x_0" localSheetId="70">'Div 4'!$P$95</definedName>
    <definedName name="OSRRefP22_20x_0" localSheetId="2">Summary!$P$216:$P$220</definedName>
    <definedName name="OSRRefP22_21x_0" localSheetId="48">'300'!$P$197:$P$198</definedName>
    <definedName name="OSRRefP22_21x_0" localSheetId="49">'300 &amp; 317'!$P$219:$P$220</definedName>
    <definedName name="OSRRefP22_21x_0" localSheetId="50">'301'!$P$89:$P$90</definedName>
    <definedName name="OSRRefP22_21x_0" localSheetId="47">'Div 3'!$P$197:$P$203</definedName>
    <definedName name="OSRRefP22_21x_0" localSheetId="70">'Div 4'!$P$97</definedName>
    <definedName name="OSRRefP22_21x_0" localSheetId="2">Summary!$P$222:$P$223</definedName>
    <definedName name="OSRRefP22_22x_0" localSheetId="48">'300'!$P$200</definedName>
    <definedName name="OSRRefP22_22x_0" localSheetId="49">'300 &amp; 317'!$P$222</definedName>
    <definedName name="OSRRefP22_22x_0" localSheetId="50">'301'!$P$92</definedName>
    <definedName name="OSRRefP22_22x_0" localSheetId="47">'Div 3'!$P$205:$P$206</definedName>
    <definedName name="OSRRefP22_22x_0" localSheetId="70">'Div 4'!$P$99:$P$100</definedName>
    <definedName name="OSRRefP22_22x_0" localSheetId="2">Summary!$P$225:$P$233</definedName>
    <definedName name="OSRRefP22_23x_0" localSheetId="48">'300'!$P$202:$P$204</definedName>
    <definedName name="OSRRefP22_23x_0" localSheetId="49">'300 &amp; 317'!$P$224:$P$226</definedName>
    <definedName name="OSRRefP22_23x_0" localSheetId="47">'Div 3'!$P$208</definedName>
    <definedName name="OSRRefP22_23x_0" localSheetId="70">'Div 4'!$P$102</definedName>
    <definedName name="OSRRefP22_23x_0" localSheetId="2">Summary!$P$235:$P$236</definedName>
    <definedName name="OSRRefP22_24x_0" localSheetId="48">'300'!$P$206</definedName>
    <definedName name="OSRRefP22_24x_0" localSheetId="49">'300 &amp; 317'!$P$228</definedName>
    <definedName name="OSRRefP22_24x_0" localSheetId="47">'Div 3'!$P$210:$P$212</definedName>
    <definedName name="OSRRefP22_24x_0" localSheetId="2">Summary!$P$238</definedName>
    <definedName name="OSRRefP22_25x_0" localSheetId="47">'Div 3'!$P$214</definedName>
    <definedName name="OSRRefP22_25x_0" localSheetId="2">Summary!$P$240:$P$242</definedName>
    <definedName name="OSRRefP22_26x_0" localSheetId="2">Summary!$P$244</definedName>
    <definedName name="OSRRefP22_2x_0" localSheetId="40">'200'!$P$24</definedName>
    <definedName name="OSRRefP22_2x_0" localSheetId="41">'201'!$P$33</definedName>
    <definedName name="OSRRefP22_2x_0" localSheetId="42">'202'!$P$33</definedName>
    <definedName name="OSRRefP22_2x_0" localSheetId="43">'203'!$P$35</definedName>
    <definedName name="OSRRefP22_2x_0" localSheetId="44">'204'!$P$34</definedName>
    <definedName name="OSRRefP22_2x_0" localSheetId="45">'205'!$P$31</definedName>
    <definedName name="OSRRefP22_2x_0" localSheetId="46">'206'!$P$32</definedName>
    <definedName name="OSRRefP22_2x_0" localSheetId="48">'300'!$P$140</definedName>
    <definedName name="OSRRefP22_2x_0" localSheetId="49">'300 &amp; 317'!$P$162</definedName>
    <definedName name="OSRRefP22_2x_0" localSheetId="50">'301'!$P$40</definedName>
    <definedName name="OSRRefP22_2x_0" localSheetId="52">'307'!$P$51</definedName>
    <definedName name="OSRRefP22_2x_0" localSheetId="53">'308'!$P$77</definedName>
    <definedName name="OSRRefP22_2x_0" localSheetId="64">'309'!$P$25:$P$26</definedName>
    <definedName name="OSRRefP22_2x_0" localSheetId="63">'310'!$P$44</definedName>
    <definedName name="OSRRefP22_2x_0" localSheetId="71">'310 &amp; 491'!$P$50</definedName>
    <definedName name="OSRRefP22_2x_0" localSheetId="54">'311'!$P$77</definedName>
    <definedName name="OSRRefP22_2x_0" localSheetId="65">'313'!$P$36</definedName>
    <definedName name="OSRRefP22_2x_0" localSheetId="57">'315'!$P$99</definedName>
    <definedName name="OSRRefP22_2x_0" localSheetId="60">'316'!$P$44</definedName>
    <definedName name="OSRRefP22_2x_0" localSheetId="62">'317'!$P$69</definedName>
    <definedName name="OSRRefP22_2x_0" localSheetId="66">'321'!$P$36</definedName>
    <definedName name="OSRRefP22_2x_0" localSheetId="67">'322'!$P$29</definedName>
    <definedName name="OSRRefP22_2x_0" localSheetId="68">'325'!$P$37</definedName>
    <definedName name="OSRRefP22_2x_0" localSheetId="58">'326'!$P$64</definedName>
    <definedName name="OSRRefP22_2x_0" localSheetId="51">'330'!$P$55</definedName>
    <definedName name="OSRRefP22_2x_0" localSheetId="56">'331'!$P$99</definedName>
    <definedName name="OSRRefP22_2x_0" localSheetId="59">'332'!$P$46</definedName>
    <definedName name="OSRRefP22_2x_0" localSheetId="73">'405'!$P$38</definedName>
    <definedName name="OSRRefP22_2x_0" localSheetId="74">'406'!$P$24</definedName>
    <definedName name="OSRRefP22_2x_0" localSheetId="75">'411'!$P$35</definedName>
    <definedName name="OSRRefP22_2x_0" localSheetId="76">'412'!$P$24</definedName>
    <definedName name="OSRRefP22_2x_0" localSheetId="77">'413'!$P$28</definedName>
    <definedName name="OSRRefP22_2x_0" localSheetId="78">'414'!$P$25</definedName>
    <definedName name="OSRRefP22_2x_0" localSheetId="79">'415'!$P$38</definedName>
    <definedName name="OSRRefP22_2x_0" localSheetId="80">'418'!$P$35</definedName>
    <definedName name="OSRRefP22_2x_0" localSheetId="82">'423'!$P$25</definedName>
    <definedName name="OSRRefP22_2x_0" localSheetId="83">'424'!$P$24</definedName>
    <definedName name="OSRRefP22_2x_0" localSheetId="84">'425'!$P$30</definedName>
    <definedName name="OSRRefP22_2x_0" localSheetId="87">'430'!$P$31</definedName>
    <definedName name="OSRRefP22_2x_0" localSheetId="88">'433'!$P$41</definedName>
    <definedName name="OSRRefP22_2x_0" localSheetId="90">'444'!$P$41</definedName>
    <definedName name="OSRRefP22_2x_0" localSheetId="91">'450'!$P$41</definedName>
    <definedName name="OSRRefP22_2x_0" localSheetId="72">'491'!$P$42</definedName>
    <definedName name="OSRRefP22_2x_0" localSheetId="86">'492'!$P$42</definedName>
    <definedName name="OSRRefP22_2x_0" localSheetId="93">'501'!$P$38</definedName>
    <definedName name="OSRRefP22_2x_0" localSheetId="39">'Div 2'!$P$38</definedName>
    <definedName name="OSRRefP22_2x_0" localSheetId="47">'Div 3'!$P$145</definedName>
    <definedName name="OSRRefP22_2x_0" localSheetId="70">'Div 4'!$P$45</definedName>
    <definedName name="OSRRefP22_2x_0" localSheetId="92">'Div 5'!$P$38</definedName>
    <definedName name="OSRRefP22_2x_0" localSheetId="61">'Div 6'!$P$69</definedName>
    <definedName name="OSRRefP22_2x_0" localSheetId="2">Summary!$P$171</definedName>
    <definedName name="OSRRefP22_3x_0" localSheetId="40">'200'!$P$26</definedName>
    <definedName name="OSRRefP22_3x_0" localSheetId="41">'201'!$P$35</definedName>
    <definedName name="OSRRefP22_3x_0" localSheetId="42">'202'!$P$35</definedName>
    <definedName name="OSRRefP22_3x_0" localSheetId="43">'203'!$P$37</definedName>
    <definedName name="OSRRefP22_3x_0" localSheetId="44">'204'!$P$36</definedName>
    <definedName name="OSRRefP22_3x_0" localSheetId="45">'205'!$P$33</definedName>
    <definedName name="OSRRefP22_3x_0" localSheetId="46">'206'!$P$34</definedName>
    <definedName name="OSRRefP22_3x_0" localSheetId="48">'300'!$P$142</definedName>
    <definedName name="OSRRefP22_3x_0" localSheetId="49">'300 &amp; 317'!$P$164</definedName>
    <definedName name="OSRRefP22_3x_0" localSheetId="50">'301'!$P$42</definedName>
    <definedName name="OSRRefP22_3x_0" localSheetId="52">'307'!$P$53</definedName>
    <definedName name="OSRRefP22_3x_0" localSheetId="53">'308'!$P$79</definedName>
    <definedName name="OSRRefP22_3x_0" localSheetId="64">'309'!$P$28</definedName>
    <definedName name="OSRRefP22_3x_0" localSheetId="63">'310'!$P$46</definedName>
    <definedName name="OSRRefP22_3x_0" localSheetId="71">'310 &amp; 491'!$P$52</definedName>
    <definedName name="OSRRefP22_3x_0" localSheetId="54">'311'!$P$79</definedName>
    <definedName name="OSRRefP22_3x_0" localSheetId="65">'313'!$P$38</definedName>
    <definedName name="OSRRefP22_3x_0" localSheetId="57">'315'!$P$101:$P$102</definedName>
    <definedName name="OSRRefP22_3x_0" localSheetId="60">'316'!$P$46</definedName>
    <definedName name="OSRRefP22_3x_0" localSheetId="62">'317'!$P$71</definedName>
    <definedName name="OSRRefP22_3x_0" localSheetId="66">'321'!$P$38</definedName>
    <definedName name="OSRRefP22_3x_0" localSheetId="67">'322'!$P$31</definedName>
    <definedName name="OSRRefP22_3x_0" localSheetId="68">'325'!$P$39</definedName>
    <definedName name="OSRRefP22_3x_0" localSheetId="58">'326'!$P$66</definedName>
    <definedName name="OSRRefP22_3x_0" localSheetId="51">'330'!$P$57</definedName>
    <definedName name="OSRRefP22_3x_0" localSheetId="56">'331'!$P$101</definedName>
    <definedName name="OSRRefP22_3x_0" localSheetId="59">'332'!$P$48</definedName>
    <definedName name="OSRRefP22_3x_0" localSheetId="73">'405'!$P$40</definedName>
    <definedName name="OSRRefP22_3x_0" localSheetId="74">'406'!$P$26</definedName>
    <definedName name="OSRRefP22_3x_0" localSheetId="75">'411'!$P$37:$P$38</definedName>
    <definedName name="OSRRefP22_3x_0" localSheetId="76">'412'!$P$26</definedName>
    <definedName name="OSRRefP22_3x_0" localSheetId="77">'413'!$P$30</definedName>
    <definedName name="OSRRefP22_3x_0" localSheetId="78">'414'!$P$27</definedName>
    <definedName name="OSRRefP22_3x_0" localSheetId="79">'415'!$P$40</definedName>
    <definedName name="OSRRefP22_3x_0" localSheetId="80">'418'!$P$37</definedName>
    <definedName name="OSRRefP22_3x_0" localSheetId="82">'423'!$P$27</definedName>
    <definedName name="OSRRefP22_3x_0" localSheetId="83">'424'!$P$26</definedName>
    <definedName name="OSRRefP22_3x_0" localSheetId="84">'425'!$P$32</definedName>
    <definedName name="OSRRefP22_3x_0" localSheetId="87">'430'!$P$33</definedName>
    <definedName name="OSRRefP22_3x_0" localSheetId="88">'433'!$P$43</definedName>
    <definedName name="OSRRefP22_3x_0" localSheetId="90">'444'!$P$43</definedName>
    <definedName name="OSRRefP22_3x_0" localSheetId="91">'450'!$P$43</definedName>
    <definedName name="OSRRefP22_3x_0" localSheetId="72">'491'!$P$44</definedName>
    <definedName name="OSRRefP22_3x_0" localSheetId="86">'492'!$P$44</definedName>
    <definedName name="OSRRefP22_3x_0" localSheetId="93">'501'!$P$40</definedName>
    <definedName name="OSRRefP22_3x_0" localSheetId="39">'Div 2'!$P$40</definedName>
    <definedName name="OSRRefP22_3x_0" localSheetId="47">'Div 3'!$P$147</definedName>
    <definedName name="OSRRefP22_3x_0" localSheetId="70">'Div 4'!$P$47</definedName>
    <definedName name="OSRRefP22_3x_0" localSheetId="92">'Div 5'!$P$40</definedName>
    <definedName name="OSRRefP22_3x_0" localSheetId="61">'Div 6'!$P$71</definedName>
    <definedName name="OSRRefP22_3x_0" localSheetId="2">Summary!$P$173</definedName>
    <definedName name="OSRRefP22_4x_0" localSheetId="41">'201'!$P$37</definedName>
    <definedName name="OSRRefP22_4x_0" localSheetId="42">'202'!$P$37:$P$38</definedName>
    <definedName name="OSRRefP22_4x_0" localSheetId="43">'203'!$P$39</definedName>
    <definedName name="OSRRefP22_4x_0" localSheetId="44">'204'!$P$38:$P$41</definedName>
    <definedName name="OSRRefP22_4x_0" localSheetId="45">'205'!$P$35:$P$36</definedName>
    <definedName name="OSRRefP22_4x_0" localSheetId="46">'206'!$P$36</definedName>
    <definedName name="OSRRefP22_4x_0" localSheetId="48">'300'!$P$144</definedName>
    <definedName name="OSRRefP22_4x_0" localSheetId="49">'300 &amp; 317'!$P$166</definedName>
    <definedName name="OSRRefP22_4x_0" localSheetId="50">'301'!$P$44</definedName>
    <definedName name="OSRRefP22_4x_0" localSheetId="52">'307'!$P$55:$P$56</definedName>
    <definedName name="OSRRefP22_4x_0" localSheetId="53">'308'!$P$81</definedName>
    <definedName name="OSRRefP22_4x_0" localSheetId="63">'310'!$P$48</definedName>
    <definedName name="OSRRefP22_4x_0" localSheetId="71">'310 &amp; 491'!$P$54</definedName>
    <definedName name="OSRRefP22_4x_0" localSheetId="54">'311'!$P$81</definedName>
    <definedName name="OSRRefP22_4x_0" localSheetId="65">'313'!$P$40</definedName>
    <definedName name="OSRRefP22_4x_0" localSheetId="57">'315'!$P$104</definedName>
    <definedName name="OSRRefP22_4x_0" localSheetId="60">'316'!$P$48</definedName>
    <definedName name="OSRRefP22_4x_0" localSheetId="62">'317'!$P$73</definedName>
    <definedName name="OSRRefP22_4x_0" localSheetId="66">'321'!$P$40</definedName>
    <definedName name="OSRRefP22_4x_0" localSheetId="67">'322'!$P$33:$P$34</definedName>
    <definedName name="OSRRefP22_4x_0" localSheetId="68">'325'!$P$41</definedName>
    <definedName name="OSRRefP22_4x_0" localSheetId="58">'326'!$P$68</definedName>
    <definedName name="OSRRefP22_4x_0" localSheetId="51">'330'!$P$59:$P$60</definedName>
    <definedName name="OSRRefP22_4x_0" localSheetId="56">'331'!$P$103</definedName>
    <definedName name="OSRRefP22_4x_0" localSheetId="59">'332'!$P$50</definedName>
    <definedName name="OSRRefP22_4x_0" localSheetId="73">'405'!$P$42</definedName>
    <definedName name="OSRRefP22_4x_0" localSheetId="74">'406'!$P$28</definedName>
    <definedName name="OSRRefP22_4x_0" localSheetId="75">'411'!$P$40</definedName>
    <definedName name="OSRRefP22_4x_0" localSheetId="76">'412'!$P$28</definedName>
    <definedName name="OSRRefP22_4x_0" localSheetId="77">'413'!$P$32</definedName>
    <definedName name="OSRRefP22_4x_0" localSheetId="78">'414'!$P$29:$P$30</definedName>
    <definedName name="OSRRefP22_4x_0" localSheetId="79">'415'!$P$42</definedName>
    <definedName name="OSRRefP22_4x_0" localSheetId="80">'418'!$P$39:$P$40</definedName>
    <definedName name="OSRRefP22_4x_0" localSheetId="84">'425'!$P$34</definedName>
    <definedName name="OSRRefP22_4x_0" localSheetId="87">'430'!$P$35</definedName>
    <definedName name="OSRRefP22_4x_0" localSheetId="88">'433'!$P$45</definedName>
    <definedName name="OSRRefP22_4x_0" localSheetId="90">'444'!$P$45</definedName>
    <definedName name="OSRRefP22_4x_0" localSheetId="91">'450'!$P$45</definedName>
    <definedName name="OSRRefP22_4x_0" localSheetId="72">'491'!$P$46</definedName>
    <definedName name="OSRRefP22_4x_0" localSheetId="86">'492'!$P$46</definedName>
    <definedName name="OSRRefP22_4x_0" localSheetId="93">'501'!$P$42:$P$43</definedName>
    <definedName name="OSRRefP22_4x_0" localSheetId="39">'Div 2'!$P$42</definedName>
    <definedName name="OSRRefP22_4x_0" localSheetId="47">'Div 3'!$P$149</definedName>
    <definedName name="OSRRefP22_4x_0" localSheetId="70">'Div 4'!$P$49</definedName>
    <definedName name="OSRRefP22_4x_0" localSheetId="92">'Div 5'!$P$42:$P$43</definedName>
    <definedName name="OSRRefP22_4x_0" localSheetId="61">'Div 6'!$P$73</definedName>
    <definedName name="OSRRefP22_4x_0" localSheetId="2">Summary!$P$175</definedName>
    <definedName name="OSRRefP22_5x_0" localSheetId="41">'201'!$P$39</definedName>
    <definedName name="OSRRefP22_5x_0" localSheetId="42">'202'!$P$40</definedName>
    <definedName name="OSRRefP22_5x_0" localSheetId="43">'203'!$P$41</definedName>
    <definedName name="OSRRefP22_5x_0" localSheetId="44">'204'!$P$43</definedName>
    <definedName name="OSRRefP22_5x_0" localSheetId="45">'205'!$P$38:$P$39</definedName>
    <definedName name="OSRRefP22_5x_0" localSheetId="46">'206'!$P$38</definedName>
    <definedName name="OSRRefP22_5x_0" localSheetId="48">'300'!$P$146:$P$147</definedName>
    <definedName name="OSRRefP22_5x_0" localSheetId="49">'300 &amp; 317'!$P$168:$P$169</definedName>
    <definedName name="OSRRefP22_5x_0" localSheetId="50">'301'!$P$46:$P$47</definedName>
    <definedName name="OSRRefP22_5x_0" localSheetId="52">'307'!$P$58</definedName>
    <definedName name="OSRRefP22_5x_0" localSheetId="53">'308'!$P$83</definedName>
    <definedName name="OSRRefP22_5x_0" localSheetId="63">'310'!$P$50:$P$51</definedName>
    <definedName name="OSRRefP22_5x_0" localSheetId="71">'310 &amp; 491'!$P$56:$P$57</definedName>
    <definedName name="OSRRefP22_5x_0" localSheetId="54">'311'!$P$83</definedName>
    <definedName name="OSRRefP22_5x_0" localSheetId="65">'313'!$P$42</definedName>
    <definedName name="OSRRefP22_5x_0" localSheetId="57">'315'!$P$106:$P$107</definedName>
    <definedName name="OSRRefP22_5x_0" localSheetId="60">'316'!$P$50</definedName>
    <definedName name="OSRRefP22_5x_0" localSheetId="62">'317'!$P$75:$P$76</definedName>
    <definedName name="OSRRefP22_5x_0" localSheetId="66">'321'!$P$42</definedName>
    <definedName name="OSRRefP22_5x_0" localSheetId="67">'322'!$P$36</definedName>
    <definedName name="OSRRefP22_5x_0" localSheetId="68">'325'!$P$43:$P$44</definedName>
    <definedName name="OSRRefP22_5x_0" localSheetId="58">'326'!$P$70</definedName>
    <definedName name="OSRRefP22_5x_0" localSheetId="51">'330'!$P$62:$P$63</definedName>
    <definedName name="OSRRefP22_5x_0" localSheetId="56">'331'!$P$105:$P$106</definedName>
    <definedName name="OSRRefP22_5x_0" localSheetId="59">'332'!$P$52</definedName>
    <definedName name="OSRRefP22_5x_0" localSheetId="73">'405'!$P$44:$P$45</definedName>
    <definedName name="OSRRefP22_5x_0" localSheetId="75">'411'!$P$42</definedName>
    <definedName name="OSRRefP22_5x_0" localSheetId="77">'413'!$P$34</definedName>
    <definedName name="OSRRefP22_5x_0" localSheetId="79">'415'!$P$44:$P$45</definedName>
    <definedName name="OSRRefP22_5x_0" localSheetId="80">'418'!$P$42</definedName>
    <definedName name="OSRRefP22_5x_0" localSheetId="84">'425'!$P$36</definedName>
    <definedName name="OSRRefP22_5x_0" localSheetId="87">'430'!$P$37:$P$38</definedName>
    <definedName name="OSRRefP22_5x_0" localSheetId="88">'433'!$P$47</definedName>
    <definedName name="OSRRefP22_5x_0" localSheetId="90">'444'!$P$47</definedName>
    <definedName name="OSRRefP22_5x_0" localSheetId="91">'450'!$P$47</definedName>
    <definedName name="OSRRefP22_5x_0" localSheetId="72">'491'!$P$48:$P$49</definedName>
    <definedName name="OSRRefP22_5x_0" localSheetId="86">'492'!$P$48</definedName>
    <definedName name="OSRRefP22_5x_0" localSheetId="93">'501'!$P$45</definedName>
    <definedName name="OSRRefP22_5x_0" localSheetId="39">'Div 2'!$P$44</definedName>
    <definedName name="OSRRefP22_5x_0" localSheetId="47">'Div 3'!$P$151:$P$152</definedName>
    <definedName name="OSRRefP22_5x_0" localSheetId="70">'Div 4'!$P$51:$P$52</definedName>
    <definedName name="OSRRefP22_5x_0" localSheetId="92">'Div 5'!$P$45</definedName>
    <definedName name="OSRRefP22_5x_0" localSheetId="61">'Div 6'!$P$75:$P$76</definedName>
    <definedName name="OSRRefP22_5x_0" localSheetId="2">Summary!$P$177:$P$178</definedName>
    <definedName name="OSRRefP22_6x_0" localSheetId="41">'201'!$P$41</definedName>
    <definedName name="OSRRefP22_6x_0" localSheetId="42">'202'!$P$42:$P$44</definedName>
    <definedName name="OSRRefP22_6x_0" localSheetId="43">'203'!$P$43</definedName>
    <definedName name="OSRRefP22_6x_0" localSheetId="44">'204'!$P$45:$P$46</definedName>
    <definedName name="OSRRefP22_6x_0" localSheetId="45">'205'!$P$41</definedName>
    <definedName name="OSRRefP22_6x_0" localSheetId="46">'206'!$P$40</definedName>
    <definedName name="OSRRefP22_6x_0" localSheetId="48">'300'!$P$149:$P$150</definedName>
    <definedName name="OSRRefP22_6x_0" localSheetId="49">'300 &amp; 317'!$P$171:$P$172</definedName>
    <definedName name="OSRRefP22_6x_0" localSheetId="50">'301'!$P$49</definedName>
    <definedName name="OSRRefP22_6x_0" localSheetId="52">'307'!$P$60</definedName>
    <definedName name="OSRRefP22_6x_0" localSheetId="53">'308'!$P$85</definedName>
    <definedName name="OSRRefP22_6x_0" localSheetId="63">'310'!$P$53</definedName>
    <definedName name="OSRRefP22_6x_0" localSheetId="71">'310 &amp; 491'!$P$59</definedName>
    <definedName name="OSRRefP22_6x_0" localSheetId="54">'311'!$P$85</definedName>
    <definedName name="OSRRefP22_6x_0" localSheetId="65">'313'!$P$44</definedName>
    <definedName name="OSRRefP22_6x_0" localSheetId="57">'315'!$P$109:$P$110</definedName>
    <definedName name="OSRRefP22_6x_0" localSheetId="60">'316'!$P$52:$P$53</definedName>
    <definedName name="OSRRefP22_6x_0" localSheetId="62">'317'!$P$78</definedName>
    <definedName name="OSRRefP22_6x_0" localSheetId="66">'321'!$P$44:$P$45</definedName>
    <definedName name="OSRRefP22_6x_0" localSheetId="67">'322'!$P$38</definedName>
    <definedName name="OSRRefP22_6x_0" localSheetId="68">'325'!$P$46</definedName>
    <definedName name="OSRRefP22_6x_0" localSheetId="58">'326'!$P$72</definedName>
    <definedName name="OSRRefP22_6x_0" localSheetId="51">'330'!$P$65</definedName>
    <definedName name="OSRRefP22_6x_0" localSheetId="56">'331'!$P$108</definedName>
    <definedName name="OSRRefP22_6x_0" localSheetId="59">'332'!$P$54:$P$55</definedName>
    <definedName name="OSRRefP22_6x_0" localSheetId="73">'405'!$P$47</definedName>
    <definedName name="OSRRefP22_6x_0" localSheetId="75">'411'!$P$44</definedName>
    <definedName name="OSRRefP22_6x_0" localSheetId="79">'415'!$P$47</definedName>
    <definedName name="OSRRefP22_6x_0" localSheetId="80">'418'!$P$44</definedName>
    <definedName name="OSRRefP22_6x_0" localSheetId="84">'425'!$P$38</definedName>
    <definedName name="OSRRefP22_6x_0" localSheetId="87">'430'!$P$40</definedName>
    <definedName name="OSRRefP22_6x_0" localSheetId="88">'433'!$P$49</definedName>
    <definedName name="OSRRefP22_6x_0" localSheetId="90">'444'!$P$49</definedName>
    <definedName name="OSRRefP22_6x_0" localSheetId="91">'450'!$P$49</definedName>
    <definedName name="OSRRefP22_6x_0" localSheetId="72">'491'!$P$51</definedName>
    <definedName name="OSRRefP22_6x_0" localSheetId="86">'492'!$P$50</definedName>
    <definedName name="OSRRefP22_6x_0" localSheetId="93">'501'!$P$47</definedName>
    <definedName name="OSRRefP22_6x_0" localSheetId="39">'Div 2'!$P$46</definedName>
    <definedName name="OSRRefP22_6x_0" localSheetId="47">'Div 3'!$P$154:$P$155</definedName>
    <definedName name="OSRRefP22_6x_0" localSheetId="70">'Div 4'!$P$54</definedName>
    <definedName name="OSRRefP22_6x_0" localSheetId="92">'Div 5'!$P$47</definedName>
    <definedName name="OSRRefP22_6x_0" localSheetId="61">'Div 6'!$P$78</definedName>
    <definedName name="OSRRefP22_6x_0" localSheetId="2">Summary!$P$180:$P$181</definedName>
    <definedName name="OSRRefP22_7x_0" localSheetId="41">'201'!$P$43</definedName>
    <definedName name="OSRRefP22_7x_0" localSheetId="42">'202'!$P$46</definedName>
    <definedName name="OSRRefP22_7x_0" localSheetId="43">'203'!$P$45:$P$46</definedName>
    <definedName name="OSRRefP22_7x_0" localSheetId="48">'300'!$P$152</definedName>
    <definedName name="OSRRefP22_7x_0" localSheetId="49">'300 &amp; 317'!$P$174</definedName>
    <definedName name="OSRRefP22_7x_0" localSheetId="50">'301'!$P$51</definedName>
    <definedName name="OSRRefP22_7x_0" localSheetId="52">'307'!$P$62</definedName>
    <definedName name="OSRRefP22_7x_0" localSheetId="53">'308'!$P$87</definedName>
    <definedName name="OSRRefP22_7x_0" localSheetId="63">'310'!$P$55</definedName>
    <definedName name="OSRRefP22_7x_0" localSheetId="71">'310 &amp; 491'!$P$61</definedName>
    <definedName name="OSRRefP22_7x_0" localSheetId="54">'311'!$P$87</definedName>
    <definedName name="OSRRefP22_7x_0" localSheetId="57">'315'!$P$112</definedName>
    <definedName name="OSRRefP22_7x_0" localSheetId="60">'316'!$P$55</definedName>
    <definedName name="OSRRefP22_7x_0" localSheetId="62">'317'!$P$80</definedName>
    <definedName name="OSRRefP22_7x_0" localSheetId="66">'321'!$P$47</definedName>
    <definedName name="OSRRefP22_7x_0" localSheetId="67">'322'!$P$40</definedName>
    <definedName name="OSRRefP22_7x_0" localSheetId="68">'325'!$P$48</definedName>
    <definedName name="OSRRefP22_7x_0" localSheetId="58">'326'!$P$74</definedName>
    <definedName name="OSRRefP22_7x_0" localSheetId="51">'330'!$P$67</definedName>
    <definedName name="OSRRefP22_7x_0" localSheetId="56">'331'!$P$110:$P$111</definedName>
    <definedName name="OSRRefP22_7x_0" localSheetId="59">'332'!$P$57</definedName>
    <definedName name="OSRRefP22_7x_0" localSheetId="73">'405'!$P$49</definedName>
    <definedName name="OSRRefP22_7x_0" localSheetId="75">'411'!$P$46</definedName>
    <definedName name="OSRRefP22_7x_0" localSheetId="79">'415'!$P$49</definedName>
    <definedName name="OSRRefP22_7x_0" localSheetId="80">'418'!$P$46</definedName>
    <definedName name="OSRRefP22_7x_0" localSheetId="84">'425'!$P$40</definedName>
    <definedName name="OSRRefP22_7x_0" localSheetId="87">'430'!$P$42</definedName>
    <definedName name="OSRRefP22_7x_0" localSheetId="88">'433'!$P$51</definedName>
    <definedName name="OSRRefP22_7x_0" localSheetId="90">'444'!$P$51</definedName>
    <definedName name="OSRRefP22_7x_0" localSheetId="91">'450'!$P$51</definedName>
    <definedName name="OSRRefP22_7x_0" localSheetId="72">'491'!$P$53</definedName>
    <definedName name="OSRRefP22_7x_0" localSheetId="86">'492'!$P$52</definedName>
    <definedName name="OSRRefP22_7x_0" localSheetId="93">'501'!$P$49:$P$50</definedName>
    <definedName name="OSRRefP22_7x_0" localSheetId="39">'Div 2'!$P$48</definedName>
    <definedName name="OSRRefP22_7x_0" localSheetId="47">'Div 3'!$P$157</definedName>
    <definedName name="OSRRefP22_7x_0" localSheetId="70">'Div 4'!$P$56</definedName>
    <definedName name="OSRRefP22_7x_0" localSheetId="92">'Div 5'!$P$49:$P$50</definedName>
    <definedName name="OSRRefP22_7x_0" localSheetId="61">'Div 6'!$P$80</definedName>
    <definedName name="OSRRefP22_7x_0" localSheetId="2">Summary!$P$183</definedName>
    <definedName name="OSRRefP22_8x_0" localSheetId="41">'201'!$P$45:$P$46</definedName>
    <definedName name="OSRRefP22_8x_0" localSheetId="42">'202'!$P$48:$P$49</definedName>
    <definedName name="OSRRefP22_8x_0" localSheetId="43">'203'!$P$48:$P$49</definedName>
    <definedName name="OSRRefP22_8x_0" localSheetId="48">'300'!$P$154</definedName>
    <definedName name="OSRRefP22_8x_0" localSheetId="49">'300 &amp; 317'!$P$176</definedName>
    <definedName name="OSRRefP22_8x_0" localSheetId="50">'301'!$P$53</definedName>
    <definedName name="OSRRefP22_8x_0" localSheetId="52">'307'!$P$64:$P$65</definedName>
    <definedName name="OSRRefP22_8x_0" localSheetId="53">'308'!$P$89</definedName>
    <definedName name="OSRRefP22_8x_0" localSheetId="63">'310'!$P$57</definedName>
    <definedName name="OSRRefP22_8x_0" localSheetId="71">'310 &amp; 491'!$P$63:$P$64</definedName>
    <definedName name="OSRRefP22_8x_0" localSheetId="54">'311'!$P$89</definedName>
    <definedName name="OSRRefP22_8x_0" localSheetId="57">'315'!$P$114:$P$115</definedName>
    <definedName name="OSRRefP22_8x_0" localSheetId="60">'316'!$P$57:$P$59</definedName>
    <definedName name="OSRRefP22_8x_0" localSheetId="62">'317'!$P$82:$P$84</definedName>
    <definedName name="OSRRefP22_8x_0" localSheetId="66">'321'!$P$49:$P$50</definedName>
    <definedName name="OSRRefP22_8x_0" localSheetId="68">'325'!$P$50</definedName>
    <definedName name="OSRRefP22_8x_0" localSheetId="58">'326'!$P$76</definedName>
    <definedName name="OSRRefP22_8x_0" localSheetId="51">'330'!$P$69:$P$70</definedName>
    <definedName name="OSRRefP22_8x_0" localSheetId="56">'331'!$P$113</definedName>
    <definedName name="OSRRefP22_8x_0" localSheetId="59">'332'!$P$59:$P$61</definedName>
    <definedName name="OSRRefP22_8x_0" localSheetId="73">'405'!$P$51</definedName>
    <definedName name="OSRRefP22_8x_0" localSheetId="75">'411'!$P$48</definedName>
    <definedName name="OSRRefP22_8x_0" localSheetId="79">'415'!$P$51</definedName>
    <definedName name="OSRRefP22_8x_0" localSheetId="80">'418'!$P$48:$P$49</definedName>
    <definedName name="OSRRefP22_8x_0" localSheetId="84">'425'!$P$42</definedName>
    <definedName name="OSRRefP22_8x_0" localSheetId="88">'433'!$P$53</definedName>
    <definedName name="OSRRefP22_8x_0" localSheetId="90">'444'!$P$53</definedName>
    <definedName name="OSRRefP22_8x_0" localSheetId="91">'450'!$P$53</definedName>
    <definedName name="OSRRefP22_8x_0" localSheetId="72">'491'!$P$55</definedName>
    <definedName name="OSRRefP22_8x_0" localSheetId="86">'492'!$P$54</definedName>
    <definedName name="OSRRefP22_8x_0" localSheetId="93">'501'!$P$52:$P$53</definedName>
    <definedName name="OSRRefP22_8x_0" localSheetId="39">'Div 2'!$P$50</definedName>
    <definedName name="OSRRefP22_8x_0" localSheetId="47">'Div 3'!$P$159</definedName>
    <definedName name="OSRRefP22_8x_0" localSheetId="70">'Div 4'!$P$58</definedName>
    <definedName name="OSRRefP22_8x_0" localSheetId="92">'Div 5'!$P$52:$P$53</definedName>
    <definedName name="OSRRefP22_8x_0" localSheetId="61">'Div 6'!$P$82:$P$84</definedName>
    <definedName name="OSRRefP22_8x_0" localSheetId="2">Summary!$P$185</definedName>
    <definedName name="OSRRefP22_9x_0" localSheetId="41">'201'!$P$48:$P$49</definedName>
    <definedName name="OSRRefP22_9x_0" localSheetId="42">'202'!$P$51</definedName>
    <definedName name="OSRRefP22_9x_0" localSheetId="43">'203'!$P$51</definedName>
    <definedName name="OSRRefP22_9x_0" localSheetId="48">'300'!$P$156</definedName>
    <definedName name="OSRRefP22_9x_0" localSheetId="49">'300 &amp; 317'!$P$178</definedName>
    <definedName name="OSRRefP22_9x_0" localSheetId="50">'301'!$P$55</definedName>
    <definedName name="OSRRefP22_9x_0" localSheetId="52">'307'!$P$67:$P$68</definedName>
    <definedName name="OSRRefP22_9x_0" localSheetId="53">'308'!$P$91:$P$93</definedName>
    <definedName name="OSRRefP22_9x_0" localSheetId="63">'310'!$P$59</definedName>
    <definedName name="OSRRefP22_9x_0" localSheetId="71">'310 &amp; 491'!$P$66</definedName>
    <definedName name="OSRRefP22_9x_0" localSheetId="54">'311'!$P$91:$P$93</definedName>
    <definedName name="OSRRefP22_9x_0" localSheetId="57">'315'!$P$117:$P$118</definedName>
    <definedName name="OSRRefP22_9x_0" localSheetId="60">'316'!$P$61</definedName>
    <definedName name="OSRRefP22_9x_0" localSheetId="62">'317'!$P$86</definedName>
    <definedName name="OSRRefP22_9x_0" localSheetId="66">'321'!$P$52:$P$56</definedName>
    <definedName name="OSRRefP22_9x_0" localSheetId="68">'325'!$P$52:$P$53</definedName>
    <definedName name="OSRRefP22_9x_0" localSheetId="58">'326'!$P$78</definedName>
    <definedName name="OSRRefP22_9x_0" localSheetId="51">'330'!$P$72:$P$73</definedName>
    <definedName name="OSRRefP22_9x_0" localSheetId="56">'331'!$P$115:$P$116</definedName>
    <definedName name="OSRRefP22_9x_0" localSheetId="59">'332'!$P$63</definedName>
    <definedName name="OSRRefP22_9x_0" localSheetId="73">'405'!$P$53</definedName>
    <definedName name="OSRRefP22_9x_0" localSheetId="75">'411'!$P$50:$P$52</definedName>
    <definedName name="OSRRefP22_9x_0" localSheetId="79">'415'!$P$53</definedName>
    <definedName name="OSRRefP22_9x_0" localSheetId="80">'418'!$P$51</definedName>
    <definedName name="OSRRefP22_9x_0" localSheetId="88">'433'!$P$55</definedName>
    <definedName name="OSRRefP22_9x_0" localSheetId="90">'444'!$P$55</definedName>
    <definedName name="OSRRefP22_9x_0" localSheetId="91">'450'!$P$55</definedName>
    <definedName name="OSRRefP22_9x_0" localSheetId="72">'491'!$P$57</definedName>
    <definedName name="OSRRefP22_9x_0" localSheetId="86">'492'!$P$56</definedName>
    <definedName name="OSRRefP22_9x_0" localSheetId="93">'501'!$P$55</definedName>
    <definedName name="OSRRefP22_9x_0" localSheetId="39">'Div 2'!$P$52:$P$53</definedName>
    <definedName name="OSRRefP22_9x_0" localSheetId="47">'Div 3'!$P$161</definedName>
    <definedName name="OSRRefP22_9x_0" localSheetId="70">'Div 4'!$P$60</definedName>
    <definedName name="OSRRefP22_9x_0" localSheetId="92">'Div 5'!$P$55</definedName>
    <definedName name="OSRRefP22_9x_0" localSheetId="61">'Div 6'!$P$86</definedName>
    <definedName name="OSRRefP22_9x_0" localSheetId="2">Summary!$P$187</definedName>
    <definedName name="OSRRefP22x_0" localSheetId="40">'200'!$P$20,'200'!$P$22,'200'!$P$24,'200'!$P$26</definedName>
    <definedName name="OSRRefP22x_0" localSheetId="41">'201'!$P$20:$P$27,'201'!$P$29:$P$31,'201'!$P$33,'201'!$P$35,'201'!$P$37,'201'!$P$39,'201'!$P$41,'201'!$P$43,'201'!$P$45:$P$46,'201'!$P$48:$P$49,'201'!$P$51,'201'!$P$53:$P$54,'201'!$P$56</definedName>
    <definedName name="OSRRefP22x_0" localSheetId="42">'202'!$P$20:$P$27,'202'!$P$29:$P$31,'202'!$P$33,'202'!$P$35,'202'!$P$37:$P$38,'202'!$P$40,'202'!$P$42:$P$44,'202'!$P$46,'202'!$P$48:$P$49,'202'!$P$51,'202'!$P$53,'202'!$P$55</definedName>
    <definedName name="OSRRefP22x_0" localSheetId="43">'203'!$P$20:$P$28,'203'!$P$30:$P$33,'203'!$P$35,'203'!$P$37,'203'!$P$39,'203'!$P$41,'203'!$P$43,'203'!$P$45:$P$46,'203'!$P$48:$P$49,'203'!$P$51,'203'!$P$53:$P$56,'203'!$P$58,'203'!$P$60</definedName>
    <definedName name="OSRRefP22x_0" localSheetId="44">'204'!$P$20:$P$28,'204'!$P$30:$P$32,'204'!$P$34,'204'!$P$36,'204'!$P$38:$P$41,'204'!$P$43,'204'!$P$45:$P$46</definedName>
    <definedName name="OSRRefP22x_0" localSheetId="45">'205'!$P$20:$P$27,'205'!$P$29,'205'!$P$31,'205'!$P$33,'205'!$P$35:$P$36,'205'!$P$38:$P$39,'205'!$P$41</definedName>
    <definedName name="OSRRefP22x_0" localSheetId="46">'206'!$P$20:$P$26,'206'!$P$28:$P$30,'206'!$P$32,'206'!$P$34,'206'!$P$36,'206'!$P$38,'206'!$P$40</definedName>
    <definedName name="OSRRefP22x_0" localSheetId="48">'300'!$P$121:$P$130,'300'!$P$132:$P$138,'300'!$P$140,'300'!$P$142,'300'!$P$144,'300'!$P$146:$P$147,'300'!$P$149:$P$150,'300'!$P$152,'300'!$P$154,'300'!$P$156,'300'!$P$158:$P$159,'300'!$P$161,'300'!$P$163,'300'!$P$165:$P$166,'300'!$P$168,'300'!$P$170,'300'!$P$172:$P$175,'300'!$P$177:$P$179,'300'!$P$181:$P$184,'300'!$P$186:$P$187,'300'!$P$189:$P$195,'300'!$P$197:$P$198,'300'!$P$200,'300'!$P$202:$P$204,'300'!$P$206</definedName>
    <definedName name="OSRRefP22x_0" localSheetId="49">'300 &amp; 317'!$P$143:$P$152,'300 &amp; 317'!$P$154:$P$160,'300 &amp; 317'!$P$162,'300 &amp; 317'!$P$164,'300 &amp; 317'!$P$166,'300 &amp; 317'!$P$168:$P$169,'300 &amp; 317'!$P$171:$P$172,'300 &amp; 317'!$P$174,'300 &amp; 317'!$P$176,'300 &amp; 317'!$P$178,'300 &amp; 317'!$P$180:$P$181,'300 &amp; 317'!$P$183,'300 &amp; 317'!$P$185,'300 &amp; 317'!$P$187:$P$188,'300 &amp; 317'!$P$190,'300 &amp; 317'!$P$192,'300 &amp; 317'!$P$194:$P$197,'300 &amp; 317'!$P$199:$P$201,'300 &amp; 317'!$P$203:$P$206,'300 &amp; 317'!$P$208:$P$209,'300 &amp; 317'!$P$211:$P$217,'300 &amp; 317'!$P$219:$P$220,'300 &amp; 317'!$P$222,'300 &amp; 317'!$P$224:$P$226,'300 &amp; 317'!$P$228</definedName>
    <definedName name="OSRRefP22x_0" localSheetId="50">'301'!$P$21:$P$30,'301'!$P$32:$P$38,'301'!$P$40,'301'!$P$42,'301'!$P$44,'301'!$P$46:$P$47,'301'!$P$49,'301'!$P$51,'301'!$P$53,'301'!$P$55,'301'!$P$57,'301'!$P$59,'301'!$P$61,'301'!$P$63,'301'!$P$65,'301'!$P$67:$P$70,'301'!$P$72:$P$74,'301'!$P$76,'301'!$P$78:$P$83,'301'!$P$85,'301'!$P$87,'301'!$P$89:$P$90,'301'!$P$92</definedName>
    <definedName name="OSRRefP22x_0" localSheetId="52">'307'!$P$43:$P$45,'307'!$P$47:$P$49,'307'!$P$51,'307'!$P$53,'307'!$P$55:$P$56,'307'!$P$58,'307'!$P$60,'307'!$P$62,'307'!$P$64:$P$65,'307'!$P$67:$P$68,'307'!$P$70:$P$73,'307'!$P$75,'307'!$P$77</definedName>
    <definedName name="OSRRefP22x_0" localSheetId="53">'308'!$P$59:$P$67,'308'!$P$69:$P$75,'308'!$P$77,'308'!$P$79,'308'!$P$81,'308'!$P$83,'308'!$P$85,'308'!$P$87,'308'!$P$89,'308'!$P$91:$P$93,'308'!$P$95,'308'!$P$97:$P$98,'308'!$P$100:$P$101,'308'!$P$103</definedName>
    <definedName name="OSRRefP22x_0" localSheetId="64">'309'!$P$20,'309'!$P$22:$P$23,'309'!$P$25:$P$26,'309'!$P$28</definedName>
    <definedName name="OSRRefP22x_0" localSheetId="63">'310'!$P$31:$P$38,'310'!$P$40:$P$42,'310'!$P$44,'310'!$P$46,'310'!$P$48,'310'!$P$50:$P$51,'310'!$P$53,'310'!$P$55,'310'!$P$57,'310'!$P$59,'310'!$P$61:$P$62,'310'!$P$64,'310'!$P$66:$P$68,'310'!$P$70:$P$74,'310'!$P$76,'310'!$P$78</definedName>
    <definedName name="OSRRefP22x_0" localSheetId="71">'310 &amp; 491'!$P$35:$P$42,'310 &amp; 491'!$P$44:$P$48,'310 &amp; 491'!$P$50,'310 &amp; 491'!$P$52,'310 &amp; 491'!$P$54,'310 &amp; 491'!$P$56:$P$57,'310 &amp; 491'!$P$59,'310 &amp; 491'!$P$61,'310 &amp; 491'!$P$63:$P$64,'310 &amp; 491'!$P$66,'310 &amp; 491'!$P$68,'310 &amp; 491'!$P$70,'310 &amp; 491'!$P$72,'310 &amp; 491'!$P$74:$P$76,'310 &amp; 491'!$P$78,'310 &amp; 491'!$P$80:$P$83,'310 &amp; 491'!$P$85,'310 &amp; 491'!$P$87:$P$94,'310 &amp; 491'!$P$96,'310 &amp; 491'!$P$98,'310 &amp; 491'!$P$100</definedName>
    <definedName name="OSRRefP22x_0" localSheetId="54">'311'!$P$59:$P$67,'311'!$P$69:$P$75,'311'!$P$77,'311'!$P$79,'311'!$P$81,'311'!$P$83,'311'!$P$85,'311'!$P$87,'311'!$P$89,'311'!$P$91:$P$93,'311'!$P$95,'311'!$P$97:$P$98,'311'!$P$100:$P$101,'311'!$P$103</definedName>
    <definedName name="OSRRefP22x_0" localSheetId="65">'313'!$P$25:$P$32,'313'!$P$34,'313'!$P$36,'313'!$P$38,'313'!$P$40,'313'!$P$42,'313'!$P$44</definedName>
    <definedName name="OSRRefP22x_0" localSheetId="57">'315'!$P$84:$P$91,'315'!$P$93:$P$97,'315'!$P$99,'315'!$P$101:$P$102,'315'!$P$104,'315'!$P$106:$P$107,'315'!$P$109:$P$110,'315'!$P$112,'315'!$P$114:$P$115,'315'!$P$117:$P$118,'315'!$P$120,'315'!$P$122:$P$124,'315'!$P$126,'315'!$P$128</definedName>
    <definedName name="OSRRefP22x_0" localSheetId="60">'316'!$P$31:$P$38,'316'!$P$40:$P$42,'316'!$P$44,'316'!$P$46,'316'!$P$48,'316'!$P$50,'316'!$P$52:$P$53,'316'!$P$55,'316'!$P$57:$P$59,'316'!$P$61,'316'!$P$63:$P$67,'316'!$P$69,'316'!$P$71</definedName>
    <definedName name="OSRRefP22x_0" localSheetId="62">'317'!$P$53:$P$61,'317'!$P$63:$P$67,'317'!$P$69,'317'!$P$71,'317'!$P$73,'317'!$P$75:$P$76,'317'!$P$78,'317'!$P$80,'317'!$P$82:$P$84,'317'!$P$86,'317'!$P$88</definedName>
    <definedName name="OSRRefP22x_0" localSheetId="66">'321'!$P$23:$P$30,'321'!$P$32:$P$34,'321'!$P$36,'321'!$P$38,'321'!$P$40,'321'!$P$42,'321'!$P$44:$P$45,'321'!$P$47,'321'!$P$49:$P$50,'321'!$P$52:$P$56,'321'!$P$58,'321'!$P$60</definedName>
    <definedName name="OSRRefP22x_0" localSheetId="67">'322'!$P$21:$P$25,'322'!$P$27,'322'!$P$29,'322'!$P$31,'322'!$P$33:$P$34,'322'!$P$36,'322'!$P$38,'322'!$P$40</definedName>
    <definedName name="OSRRefP22x_0" localSheetId="68">'325'!$P$24:$P$31,'325'!$P$33:$P$35,'325'!$P$37,'325'!$P$39,'325'!$P$41,'325'!$P$43:$P$44,'325'!$P$46,'325'!$P$48,'325'!$P$50,'325'!$P$52:$P$53,'325'!$P$55:$P$57,'325'!$P$59:$P$62,'325'!$P$64,'325'!$P$66</definedName>
    <definedName name="OSRRefP22x_0" localSheetId="58">'326'!$P$49:$P$56,'326'!$P$58:$P$62,'326'!$P$64,'326'!$P$66,'326'!$P$68,'326'!$P$70,'326'!$P$72,'326'!$P$74,'326'!$P$76,'326'!$P$78,'326'!$P$80:$P$82,'326'!$P$84:$P$85,'326'!$P$87,'326'!$P$89:$P$92,'326'!$P$94,'326'!$P$96,'326'!$P$98</definedName>
    <definedName name="OSRRefP22x_0" localSheetId="69">'327'!$P$24</definedName>
    <definedName name="OSRRefP22x_0" localSheetId="51">'330'!$P$46:$P$49,'330'!$P$51:$P$53,'330'!$P$55,'330'!$P$57,'330'!$P$59:$P$60,'330'!$P$62:$P$63,'330'!$P$65,'330'!$P$67,'330'!$P$69:$P$70,'330'!$P$72:$P$73,'330'!$P$75:$P$78,'330'!$P$80,'330'!$P$82</definedName>
    <definedName name="OSRRefP22x_0" localSheetId="56">'331'!$P$84:$P$91,'331'!$P$93:$P$97,'331'!$P$99,'331'!$P$101,'331'!$P$103,'331'!$P$105:$P$106,'331'!$P$108,'331'!$P$110:$P$111,'331'!$P$113,'331'!$P$115:$P$116,'331'!$P$118,'331'!$P$120,'331'!$P$122:$P$124,'331'!$P$126:$P$127,'331'!$P$129:$P$130,'331'!$P$132,'331'!$P$134:$P$137,'331'!$P$139,'331'!$P$141,'331'!$P$143</definedName>
    <definedName name="OSRRefP22x_0" localSheetId="59">'332'!$P$33:$P$40,'332'!$P$42:$P$44,'332'!$P$46,'332'!$P$48,'332'!$P$50,'332'!$P$52,'332'!$P$54:$P$55,'332'!$P$57,'332'!$P$59:$P$61,'332'!$P$63,'332'!$P$65:$P$69,'332'!$P$71,'332'!$P$73</definedName>
    <definedName name="OSRRefP22x_0" localSheetId="73">'405'!$P$24:$P$31,'405'!$P$33:$P$36,'405'!$P$38,'405'!$P$40,'405'!$P$42,'405'!$P$44:$P$45,'405'!$P$47,'405'!$P$49,'405'!$P$51,'405'!$P$53,'405'!$P$55:$P$56,'405'!$P$58:$P$61,'405'!$P$63,'405'!$P$65:$P$71,'405'!$P$73,'405'!$P$75</definedName>
    <definedName name="OSRRefP22x_0" localSheetId="74">'406'!$P$20,'406'!$P$22,'406'!$P$24,'406'!$P$26,'406'!$P$28</definedName>
    <definedName name="OSRRefP22x_0" localSheetId="75">'411'!$P$20:$P$27,'411'!$P$29:$P$33,'411'!$P$35,'411'!$P$37:$P$38,'411'!$P$40,'411'!$P$42,'411'!$P$44,'411'!$P$46,'411'!$P$48,'411'!$P$50:$P$52,'411'!$P$54:$P$56,'411'!$P$58:$P$59,'411'!$P$61,'411'!$P$63,'411'!$P$65</definedName>
    <definedName name="OSRRefP22x_0" localSheetId="76">'412'!$P$20,'412'!$P$22,'412'!$P$24,'412'!$P$26,'412'!$P$28</definedName>
    <definedName name="OSRRefP22x_0" localSheetId="77">'413'!$P$20:$P$24,'413'!$P$26,'413'!$P$28,'413'!$P$30,'413'!$P$32,'413'!$P$34</definedName>
    <definedName name="OSRRefP22x_0" localSheetId="78">'414'!$P$21,'414'!$P$23,'414'!$P$25,'414'!$P$27,'414'!$P$29:$P$30</definedName>
    <definedName name="OSRRefP22x_0" localSheetId="79">'415'!$P$24:$P$31,'415'!$P$33:$P$36,'415'!$P$38,'415'!$P$40,'415'!$P$42,'415'!$P$44:$P$45,'415'!$P$47,'415'!$P$49,'415'!$P$51,'415'!$P$53,'415'!$P$55:$P$56,'415'!$P$58:$P$61,'415'!$P$63,'415'!$P$65:$P$70,'415'!$P$72,'415'!$P$74</definedName>
    <definedName name="OSRRefP22x_0" localSheetId="80">'418'!$P$21:$P$28,'418'!$P$30:$P$33,'418'!$P$35,'418'!$P$37,'418'!$P$39:$P$40,'418'!$P$42,'418'!$P$44,'418'!$P$46,'418'!$P$48:$P$49,'418'!$P$51,'418'!$P$53,'418'!$P$55:$P$59,'418'!$P$61</definedName>
    <definedName name="OSRRefP22x_0" localSheetId="82">'423'!$P$20:$P$21,'423'!$P$23,'423'!$P$25,'423'!$P$27</definedName>
    <definedName name="OSRRefP22x_0" localSheetId="83">'424'!$P$20,'424'!$P$22,'424'!$P$24,'424'!$P$26</definedName>
    <definedName name="OSRRefP22x_0" localSheetId="84">'425'!$P$22:$P$26,'425'!$P$28,'425'!$P$30,'425'!$P$32,'425'!$P$34,'425'!$P$36,'425'!$P$38,'425'!$P$40,'425'!$P$42</definedName>
    <definedName name="OSRRefP22x_0" localSheetId="87">'430'!$P$20:$P$27,'430'!$P$29,'430'!$P$31,'430'!$P$33,'430'!$P$35,'430'!$P$37:$P$38,'430'!$P$40,'430'!$P$42</definedName>
    <definedName name="OSRRefP22x_0" localSheetId="88">'433'!$P$25:$P$33,'433'!$P$35:$P$39,'433'!$P$41,'433'!$P$43,'433'!$P$45,'433'!$P$47,'433'!$P$49,'433'!$P$51,'433'!$P$53,'433'!$P$55,'433'!$P$57:$P$58,'433'!$P$60:$P$62,'433'!$P$64:$P$71,'433'!$P$73</definedName>
    <definedName name="OSRRefP22x_0" localSheetId="89">'435'!$P$20</definedName>
    <definedName name="OSRRefP22x_0" localSheetId="90">'444'!$P$25:$P$33,'444'!$P$35:$P$39,'444'!$P$41,'444'!$P$43,'444'!$P$45,'444'!$P$47,'444'!$P$49,'444'!$P$51,'444'!$P$53,'444'!$P$55,'444'!$P$57:$P$58,'444'!$P$60:$P$62,'444'!$P$64:$P$70,'444'!$P$72,'444'!$P$74</definedName>
    <definedName name="OSRRefP22x_0" localSheetId="91">'450'!$P$25:$P$33,'450'!$P$35:$P$39,'450'!$P$41,'450'!$P$43,'450'!$P$45,'450'!$P$47,'450'!$P$49,'450'!$P$51,'450'!$P$53,'450'!$P$55,'450'!$P$57,'450'!$P$59,'450'!$P$61:$P$62,'450'!$P$64:$P$66,'450'!$P$68:$P$73,'450'!$P$75,'450'!$P$77</definedName>
    <definedName name="OSRRefP22x_0" localSheetId="72">'491'!$P$27:$P$34,'491'!$P$36:$P$40,'491'!$P$42,'491'!$P$44,'491'!$P$46,'491'!$P$48:$P$49,'491'!$P$51,'491'!$P$53,'491'!$P$55,'491'!$P$57,'491'!$P$59,'491'!$P$61,'491'!$P$63,'491'!$P$65:$P$67,'491'!$P$69,'491'!$P$71:$P$74,'491'!$P$76,'491'!$P$78:$P$85,'491'!$P$87,'491'!$P$89,'491'!$P$91</definedName>
    <definedName name="OSRRefP22x_0" localSheetId="86">'492'!$P$25:$P$33,'492'!$P$35:$P$40,'492'!$P$42,'492'!$P$44,'492'!$P$46,'492'!$P$48,'492'!$P$50,'492'!$P$52,'492'!$P$54,'492'!$P$56,'492'!$P$58,'492'!$P$60,'492'!$P$62:$P$64,'492'!$P$66:$P$68,'492'!$P$70:$P$77,'492'!$P$79,'492'!$P$81,'492'!$P$83:$P$84</definedName>
    <definedName name="OSRRefP22x_0" localSheetId="93">'501'!$P$21:$P$29,'501'!$P$31:$P$36,'501'!$P$38,'501'!$P$40,'501'!$P$42:$P$43,'501'!$P$45,'501'!$P$47,'501'!$P$49:$P$50,'501'!$P$52:$P$53,'501'!$P$55,'501'!$P$57</definedName>
    <definedName name="OSRRefP22x_0" localSheetId="39">'Div 2'!$P$20:$P$29,'Div 2'!$P$31:$P$36,'Div 2'!$P$38,'Div 2'!$P$40,'Div 2'!$P$42,'Div 2'!$P$44,'Div 2'!$P$46,'Div 2'!$P$48,'Div 2'!$P$50,'Div 2'!$P$52:$P$53,'Div 2'!$P$55,'Div 2'!$P$57,'Div 2'!$P$59:$P$61,'Div 2'!$P$63:$P$66,'Div 2'!$P$68,'Div 2'!$P$70,'Div 2'!$P$72:$P$76,'Div 2'!$P$78:$P$79,'Div 2'!$P$81,'Div 2'!$P$83</definedName>
    <definedName name="OSRRefP22x_0" localSheetId="47">'Div 3'!$P$126:$P$135,'Div 3'!$P$137:$P$143,'Div 3'!$P$145,'Div 3'!$P$147,'Div 3'!$P$149,'Div 3'!$P$151:$P$152,'Div 3'!$P$154:$P$155,'Div 3'!$P$157,'Div 3'!$P$159,'Div 3'!$P$161,'Div 3'!$P$163:$P$164,'Div 3'!$P$166,'Div 3'!$P$168,'Div 3'!$P$170,'Div 3'!$P$172:$P$173,'Div 3'!$P$175,'Div 3'!$P$177,'Div 3'!$P$179:$P$182,'Div 3'!$P$184:$P$186,'Div 3'!$P$188:$P$192,'Div 3'!$P$194:$P$195,'Div 3'!$P$197:$P$203,'Div 3'!$P$205:$P$206,'Div 3'!$P$208,'Div 3'!$P$210:$P$212,'Div 3'!$P$214</definedName>
    <definedName name="OSRRefP22x_0" localSheetId="70">'Div 4'!$P$28:$P$36,'Div 4'!$P$38:$P$43,'Div 4'!$P$45,'Div 4'!$P$47,'Div 4'!$P$49,'Div 4'!$P$51:$P$52,'Div 4'!$P$54,'Div 4'!$P$56,'Div 4'!$P$58,'Div 4'!$P$60,'Div 4'!$P$62,'Div 4'!$P$64,'Div 4'!$P$66,'Div 4'!$P$68,'Div 4'!$P$70,'Div 4'!$P$72:$P$74,'Div 4'!$P$76,'Div 4'!$P$78:$P$81,'Div 4'!$P$83,'Div 4'!$P$85:$P$93,'Div 4'!$P$95,'Div 4'!$P$97,'Div 4'!$P$99:$P$100,'Div 4'!$P$102</definedName>
    <definedName name="OSRRefP22x_0" localSheetId="92">'Div 5'!$P$21:$P$29,'Div 5'!$P$31:$P$36,'Div 5'!$P$38,'Div 5'!$P$40,'Div 5'!$P$42:$P$43,'Div 5'!$P$45,'Div 5'!$P$47,'Div 5'!$P$49:$P$50,'Div 5'!$P$52:$P$53,'Div 5'!$P$55,'Div 5'!$P$57</definedName>
    <definedName name="OSRRefP22x_0" localSheetId="61">'Div 6'!$P$53:$P$61,'Div 6'!$P$63:$P$67,'Div 6'!$P$69,'Div 6'!$P$71,'Div 6'!$P$73,'Div 6'!$P$75:$P$76,'Div 6'!$P$78,'Div 6'!$P$80,'Div 6'!$P$82:$P$84,'Div 6'!$P$86,'Div 6'!$P$88</definedName>
    <definedName name="OSRRefP22x_0" localSheetId="2">Summary!$P$152:$P$161,Summary!$P$163:$P$169,Summary!$P$171,Summary!$P$173,Summary!$P$175,Summary!$P$177:$P$178,Summary!$P$180:$P$181,Summary!$P$183,Summary!$P$185,Summary!$P$187,Summary!$P$189:$P$190,Summary!$P$192,Summary!$P$194,Summary!$P$196,Summary!$P$198:$P$199,Summary!$P$201,Summary!$P$203,Summary!$P$205,Summary!$P$207:$P$210,Summary!$P$212:$P$214,Summary!$P$216:$P$220,Summary!$P$222:$P$223,Summary!$P$225:$P$233,Summary!$P$235:$P$236,Summary!$P$238,Summary!$P$240:$P$242,Summary!$P$244</definedName>
    <definedName name="OSRRefP25x_0" localSheetId="48">'300'!$P$209:$P$212</definedName>
    <definedName name="OSRRefP25x_0" localSheetId="49">'300 &amp; 317'!$P$231:$P$236</definedName>
    <definedName name="OSRRefP25x_0" localSheetId="50">'301'!$P$95</definedName>
    <definedName name="OSRRefP25x_0" localSheetId="53">'308'!$P$106:$P$108</definedName>
    <definedName name="OSRRefP25x_0" localSheetId="71">'310 &amp; 491'!$P$103:$P$105</definedName>
    <definedName name="OSRRefP25x_0" localSheetId="54">'311'!$P$106:$P$108</definedName>
    <definedName name="OSRRefP25x_0" localSheetId="57">'315'!$P$131:$P$132</definedName>
    <definedName name="OSRRefP25x_0" localSheetId="60">'316'!$P$74</definedName>
    <definedName name="OSRRefP25x_0" localSheetId="62">'317'!$P$91:$P$93</definedName>
    <definedName name="OSRRefP25x_0" localSheetId="56">'331'!$P$146:$P$147</definedName>
    <definedName name="OSRRefP25x_0" localSheetId="59">'332'!$P$76:$P$77</definedName>
    <definedName name="OSRRefP25x_0" localSheetId="75">'411'!$P$68:$P$69</definedName>
    <definedName name="OSRRefP25x_0" localSheetId="79">'415'!$P$77</definedName>
    <definedName name="OSRRefP25x_0" localSheetId="80">'418'!$P$64</definedName>
    <definedName name="OSRRefP25x_0" localSheetId="82">'423'!$P$30</definedName>
    <definedName name="OSRRefP25x_0" localSheetId="85">'455'!$P$21:$P$22</definedName>
    <definedName name="OSRRefP25x_0" localSheetId="72">'491'!$P$94:$P$96</definedName>
    <definedName name="OSRRefP25x_0" localSheetId="93">'501'!$P$60</definedName>
    <definedName name="OSRRefP25x_0" localSheetId="47">'Div 3'!$P$217:$P$220</definedName>
    <definedName name="OSRRefP25x_0" localSheetId="70">'Div 4'!$P$105:$P$107</definedName>
    <definedName name="OSRRefP25x_0" localSheetId="92">'Div 5'!$P$60</definedName>
    <definedName name="OSRRefP25x_0" localSheetId="61">'Div 6'!$P$91:$P$93</definedName>
    <definedName name="OSRRefP25x_0" localSheetId="2">Summary!$P$247:$P$254</definedName>
    <definedName name="OSRRefT13x_0" localSheetId="48">'300'!$T$13:$T$76</definedName>
    <definedName name="OSRRefT13x_0" localSheetId="49">'300 &amp; 317'!$T$13:$T$90</definedName>
    <definedName name="OSRRefT13x_0" localSheetId="52">'307'!$T$13:$T$25</definedName>
    <definedName name="OSRRefT13x_0" localSheetId="53">'308'!$T$13:$T$36</definedName>
    <definedName name="OSRRefT13x_0" localSheetId="63">'310'!$T$13:$T$21</definedName>
    <definedName name="OSRRefT13x_0" localSheetId="71">'310 &amp; 491'!$T$13:$T$25</definedName>
    <definedName name="OSRRefT13x_0" localSheetId="54">'311'!$T$13:$T$36</definedName>
    <definedName name="OSRRefT13x_0" localSheetId="65">'313'!$T$13:$T$16</definedName>
    <definedName name="OSRRefT13x_0" localSheetId="57">'315'!$T$13:$T$52</definedName>
    <definedName name="OSRRefT13x_0" localSheetId="60">'316'!$T$13:$T$23</definedName>
    <definedName name="OSRRefT13x_0" localSheetId="62">'317'!$T$13:$T$33</definedName>
    <definedName name="OSRRefT13x_0" localSheetId="66">'321'!$T$13:$T$14</definedName>
    <definedName name="OSRRefT13x_0" localSheetId="55">'324'!$T$13:$T$16</definedName>
    <definedName name="OSRRefT13x_0" localSheetId="68">'325'!$T$13:$T$14</definedName>
    <definedName name="OSRRefT13x_0" localSheetId="58">'326'!$T$13:$T$34</definedName>
    <definedName name="OSRRefT13x_0" localSheetId="69">'327'!$T$13:$T$14</definedName>
    <definedName name="OSRRefT13x_0" localSheetId="51">'330'!$T$13:$T$28</definedName>
    <definedName name="OSRRefT13x_0" localSheetId="56">'331'!$T$13:$T$52</definedName>
    <definedName name="OSRRefT13x_0" localSheetId="59">'332'!$T$13:$T$23</definedName>
    <definedName name="OSRRefT13x_0" localSheetId="73">'405'!$T$13:$T$14</definedName>
    <definedName name="OSRRefT13x_0" localSheetId="78">'414'!$T$13</definedName>
    <definedName name="OSRRefT13x_0" localSheetId="79">'415'!$T$13:$T$14</definedName>
    <definedName name="OSRRefT13x_0" localSheetId="81">'420'!$T$13</definedName>
    <definedName name="OSRRefT13x_0" localSheetId="84">'425'!$T$13</definedName>
    <definedName name="OSRRefT13x_0" localSheetId="88">'433'!$T$13:$T$15</definedName>
    <definedName name="OSRRefT13x_0" localSheetId="90">'444'!$T$13:$T$15</definedName>
    <definedName name="OSRRefT13x_0" localSheetId="91">'450'!$T$13:$T$15</definedName>
    <definedName name="OSRRefT13x_0" localSheetId="72">'491'!$T$13:$T$17</definedName>
    <definedName name="OSRRefT13x_0" localSheetId="86">'492'!$T$13:$T$15</definedName>
    <definedName name="OSRRefT13x_0" localSheetId="93">'501'!$T$13</definedName>
    <definedName name="OSRRefT13x_0" localSheetId="47">'Div 3'!$T$13:$T$79</definedName>
    <definedName name="OSRRefT13x_0" localSheetId="70">'Div 4'!$T$13:$T$18</definedName>
    <definedName name="OSRRefT13x_0" localSheetId="92">'Div 5'!$T$13</definedName>
    <definedName name="OSRRefT13x_0" localSheetId="61">'Div 6'!$T$13:$T$33</definedName>
    <definedName name="OSRRefT13x_0" localSheetId="2">Summary!$T$13:$T$97</definedName>
    <definedName name="OSRRefT16x_0" localSheetId="48">'300'!$T$79:$T$115</definedName>
    <definedName name="OSRRefT16x_0" localSheetId="49">'300 &amp; 317'!$T$93:$T$137</definedName>
    <definedName name="OSRRefT16x_0" localSheetId="50">'301'!$T$15</definedName>
    <definedName name="OSRRefT16x_0" localSheetId="52">'307'!$T$28:$T$37</definedName>
    <definedName name="OSRRefT16x_0" localSheetId="53">'308'!$T$39:$T$53</definedName>
    <definedName name="OSRRefT16x_0" localSheetId="63">'310'!$T$24:$T$25</definedName>
    <definedName name="OSRRefT16x_0" localSheetId="71">'310 &amp; 491'!$T$28:$T$29</definedName>
    <definedName name="OSRRefT16x_0" localSheetId="54">'311'!$T$39:$T$53</definedName>
    <definedName name="OSRRefT16x_0" localSheetId="65">'313'!$T$19</definedName>
    <definedName name="OSRRefT16x_0" localSheetId="57">'315'!$T$55:$T$78</definedName>
    <definedName name="OSRRefT16x_0" localSheetId="62">'317'!$T$36:$T$47</definedName>
    <definedName name="OSRRefT16x_0" localSheetId="66">'321'!$T$17</definedName>
    <definedName name="OSRRefT16x_0" localSheetId="67">'322'!$T$15</definedName>
    <definedName name="OSRRefT16x_0" localSheetId="55">'324'!$T$19:$T$21</definedName>
    <definedName name="OSRRefT16x_0" localSheetId="68">'325'!$T$17:$T$18</definedName>
    <definedName name="OSRRefT16x_0" localSheetId="58">'326'!$T$37:$T$43</definedName>
    <definedName name="OSRRefT16x_0" localSheetId="69">'327'!$T$17:$T$18</definedName>
    <definedName name="OSRRefT16x_0" localSheetId="51">'330'!$T$31:$T$40</definedName>
    <definedName name="OSRRefT16x_0" localSheetId="56">'331'!$T$55:$T$78</definedName>
    <definedName name="OSRRefT16x_0" localSheetId="59">'332'!$T$26:$T$27</definedName>
    <definedName name="OSRRefT16x_0" localSheetId="73">'405'!$T$17:$T$18</definedName>
    <definedName name="OSRRefT16x_0" localSheetId="79">'415'!$T$17:$T$18</definedName>
    <definedName name="OSRRefT16x_0" localSheetId="80">'418'!$T$15</definedName>
    <definedName name="OSRRefT16x_0" localSheetId="84">'425'!$T$16</definedName>
    <definedName name="OSRRefT16x_0" localSheetId="88">'433'!$T$18:$T$19</definedName>
    <definedName name="OSRRefT16x_0" localSheetId="90">'444'!$T$18:$T$19</definedName>
    <definedName name="OSRRefT16x_0" localSheetId="91">'450'!$T$18:$T$19</definedName>
    <definedName name="OSRRefT16x_0" localSheetId="72">'491'!$T$20:$T$21</definedName>
    <definedName name="OSRRefT16x_0" localSheetId="86">'492'!$T$18:$T$19</definedName>
    <definedName name="OSRRefT16x_0" localSheetId="47">'Div 3'!$T$82:$T$120</definedName>
    <definedName name="OSRRefT16x_0" localSheetId="70">'Div 4'!$T$21:$T$22</definedName>
    <definedName name="OSRRefT16x_0" localSheetId="61">'Div 6'!$T$36:$T$47</definedName>
    <definedName name="OSRRefT16x_0" localSheetId="2">Summary!$T$100:$T$146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'300'!$T$121:$T$130</definedName>
    <definedName name="OSRRefT22_0x_0" localSheetId="49">'300 &amp; 317'!$T$143:$T$152</definedName>
    <definedName name="OSRRefT22_0x_0" localSheetId="50">'301'!$T$21:$T$30</definedName>
    <definedName name="OSRRefT22_0x_0" localSheetId="52">'307'!$T$43:$T$45</definedName>
    <definedName name="OSRRefT22_0x_0" localSheetId="53">'308'!$T$59:$T$67</definedName>
    <definedName name="OSRRefT22_0x_0" localSheetId="64">'309'!$T$20</definedName>
    <definedName name="OSRRefT22_0x_0" localSheetId="63">'310'!$T$31:$T$38</definedName>
    <definedName name="OSRRefT22_0x_0" localSheetId="71">'310 &amp; 491'!$T$35:$T$42</definedName>
    <definedName name="OSRRefT22_0x_0" localSheetId="54">'311'!$T$59:$T$67</definedName>
    <definedName name="OSRRefT22_0x_0" localSheetId="65">'313'!$T$25:$T$32</definedName>
    <definedName name="OSRRefT22_0x_0" localSheetId="57">'315'!$T$84:$T$91</definedName>
    <definedName name="OSRRefT22_0x_0" localSheetId="60">'316'!$T$31:$T$38</definedName>
    <definedName name="OSRRefT22_0x_0" localSheetId="62">'317'!$T$53:$T$61</definedName>
    <definedName name="OSRRefT22_0x_0" localSheetId="66">'321'!$T$23:$T$30</definedName>
    <definedName name="OSRRefT22_0x_0" localSheetId="67">'322'!$T$21:$T$25</definedName>
    <definedName name="OSRRefT22_0x_0" localSheetId="68">'325'!$T$24:$T$31</definedName>
    <definedName name="OSRRefT22_0x_0" localSheetId="58">'326'!$T$49:$T$56</definedName>
    <definedName name="OSRRefT22_0x_0" localSheetId="69">'327'!$T$24</definedName>
    <definedName name="OSRRefT22_0x_0" localSheetId="51">'330'!$T$46:$T$49</definedName>
    <definedName name="OSRRefT22_0x_0" localSheetId="56">'331'!$T$84:$T$91</definedName>
    <definedName name="OSRRefT22_0x_0" localSheetId="59">'332'!$T$33:$T$40</definedName>
    <definedName name="OSRRefT22_0x_0" localSheetId="73">'405'!$T$24:$T$31</definedName>
    <definedName name="OSRRefT22_0x_0" localSheetId="74">'406'!$T$20</definedName>
    <definedName name="OSRRefT22_0x_0" localSheetId="75">'411'!$T$20:$T$27</definedName>
    <definedName name="OSRRefT22_0x_0" localSheetId="76">'412'!$T$20</definedName>
    <definedName name="OSRRefT22_0x_0" localSheetId="77">'413'!$T$20:$T$24</definedName>
    <definedName name="OSRRefT22_0x_0" localSheetId="78">'414'!$T$21</definedName>
    <definedName name="OSRRefT22_0x_0" localSheetId="79">'415'!$T$24:$T$31</definedName>
    <definedName name="OSRRefT22_0x_0" localSheetId="80">'418'!$T$21:$T$28</definedName>
    <definedName name="OSRRefT22_0x_0" localSheetId="82">'423'!$T$20:$T$21</definedName>
    <definedName name="OSRRefT22_0x_0" localSheetId="83">'424'!$T$20</definedName>
    <definedName name="OSRRefT22_0x_0" localSheetId="84">'425'!$T$22:$T$26</definedName>
    <definedName name="OSRRefT22_0x_0" localSheetId="87">'430'!$T$20:$T$27</definedName>
    <definedName name="OSRRefT22_0x_0" localSheetId="88">'433'!$T$25:$T$33</definedName>
    <definedName name="OSRRefT22_0x_0" localSheetId="89">'435'!$T$20</definedName>
    <definedName name="OSRRefT22_0x_0" localSheetId="90">'444'!$T$25:$T$33</definedName>
    <definedName name="OSRRefT22_0x_0" localSheetId="91">'450'!$T$25:$T$33</definedName>
    <definedName name="OSRRefT22_0x_0" localSheetId="72">'491'!$T$27:$T$34</definedName>
    <definedName name="OSRRefT22_0x_0" localSheetId="86">'492'!$T$25:$T$33</definedName>
    <definedName name="OSRRefT22_0x_0" localSheetId="93">'501'!$T$21:$T$29</definedName>
    <definedName name="OSRRefT22_0x_0" localSheetId="39">'Div 2'!$T$20:$T$29</definedName>
    <definedName name="OSRRefT22_0x_0" localSheetId="47">'Div 3'!$T$126:$T$135</definedName>
    <definedName name="OSRRefT22_0x_0" localSheetId="70">'Div 4'!$T$28:$T$36</definedName>
    <definedName name="OSRRefT22_0x_0" localSheetId="92">'Div 5'!$T$21:$T$29</definedName>
    <definedName name="OSRRefT22_0x_0" localSheetId="61">'Div 6'!$T$53:$T$61</definedName>
    <definedName name="OSRRefT22_0x_0" localSheetId="2">Summary!$T$152:$T$161</definedName>
    <definedName name="OSRRefT22_10x_0" localSheetId="41">'201'!$T$51</definedName>
    <definedName name="OSRRefT22_10x_0" localSheetId="42">'202'!$T$53</definedName>
    <definedName name="OSRRefT22_10x_0" localSheetId="43">'203'!$T$53:$T$56</definedName>
    <definedName name="OSRRefT22_10x_0" localSheetId="48">'300'!$T$158:$T$159</definedName>
    <definedName name="OSRRefT22_10x_0" localSheetId="49">'300 &amp; 317'!$T$180:$T$181</definedName>
    <definedName name="OSRRefT22_10x_0" localSheetId="50">'301'!$T$57</definedName>
    <definedName name="OSRRefT22_10x_0" localSheetId="52">'307'!$T$70:$T$73</definedName>
    <definedName name="OSRRefT22_10x_0" localSheetId="53">'308'!$T$95</definedName>
    <definedName name="OSRRefT22_10x_0" localSheetId="63">'310'!$T$61:$T$62</definedName>
    <definedName name="OSRRefT22_10x_0" localSheetId="71">'310 &amp; 491'!$T$68</definedName>
    <definedName name="OSRRefT22_10x_0" localSheetId="54">'311'!$T$95</definedName>
    <definedName name="OSRRefT22_10x_0" localSheetId="57">'315'!$T$120</definedName>
    <definedName name="OSRRefT22_10x_0" localSheetId="60">'316'!$T$63:$T$67</definedName>
    <definedName name="OSRRefT22_10x_0" localSheetId="62">'317'!$T$88</definedName>
    <definedName name="OSRRefT22_10x_0" localSheetId="66">'321'!$T$58</definedName>
    <definedName name="OSRRefT22_10x_0" localSheetId="68">'325'!$T$55:$T$57</definedName>
    <definedName name="OSRRefT22_10x_0" localSheetId="58">'326'!$T$80:$T$82</definedName>
    <definedName name="OSRRefT22_10x_0" localSheetId="51">'330'!$T$75:$T$78</definedName>
    <definedName name="OSRRefT22_10x_0" localSheetId="56">'331'!$T$118</definedName>
    <definedName name="OSRRefT22_10x_0" localSheetId="59">'332'!$T$65:$T$69</definedName>
    <definedName name="OSRRefT22_10x_0" localSheetId="73">'405'!$T$55:$T$56</definedName>
    <definedName name="OSRRefT22_10x_0" localSheetId="75">'411'!$T$54:$T$56</definedName>
    <definedName name="OSRRefT22_10x_0" localSheetId="79">'415'!$T$55:$T$56</definedName>
    <definedName name="OSRRefT22_10x_0" localSheetId="80">'418'!$T$53</definedName>
    <definedName name="OSRRefT22_10x_0" localSheetId="88">'433'!$T$57:$T$58</definedName>
    <definedName name="OSRRefT22_10x_0" localSheetId="90">'444'!$T$57:$T$58</definedName>
    <definedName name="OSRRefT22_10x_0" localSheetId="91">'450'!$T$57</definedName>
    <definedName name="OSRRefT22_10x_0" localSheetId="72">'491'!$T$59</definedName>
    <definedName name="OSRRefT22_10x_0" localSheetId="86">'492'!$T$58</definedName>
    <definedName name="OSRRefT22_10x_0" localSheetId="93">'501'!$T$57</definedName>
    <definedName name="OSRRefT22_10x_0" localSheetId="39">'Div 2'!$T$55</definedName>
    <definedName name="OSRRefT22_10x_0" localSheetId="47">'Div 3'!$T$163:$T$164</definedName>
    <definedName name="OSRRefT22_10x_0" localSheetId="70">'Div 4'!$T$62</definedName>
    <definedName name="OSRRefT22_10x_0" localSheetId="92">'Div 5'!$T$57</definedName>
    <definedName name="OSRRefT22_10x_0" localSheetId="61">'Div 6'!$T$88</definedName>
    <definedName name="OSRRefT22_10x_0" localSheetId="2">Summary!$T$189:$T$190</definedName>
    <definedName name="OSRRefT22_11x_0" localSheetId="41">'201'!$T$53:$T$54</definedName>
    <definedName name="OSRRefT22_11x_0" localSheetId="42">'202'!$T$55</definedName>
    <definedName name="OSRRefT22_11x_0" localSheetId="43">'203'!$T$58</definedName>
    <definedName name="OSRRefT22_11x_0" localSheetId="48">'300'!$T$161</definedName>
    <definedName name="OSRRefT22_11x_0" localSheetId="49">'300 &amp; 317'!$T$183</definedName>
    <definedName name="OSRRefT22_11x_0" localSheetId="50">'301'!$T$59</definedName>
    <definedName name="OSRRefT22_11x_0" localSheetId="52">'307'!$T$75</definedName>
    <definedName name="OSRRefT22_11x_0" localSheetId="53">'308'!$T$97:$T$98</definedName>
    <definedName name="OSRRefT22_11x_0" localSheetId="63">'310'!$T$64</definedName>
    <definedName name="OSRRefT22_11x_0" localSheetId="71">'310 &amp; 491'!$T$70</definedName>
    <definedName name="OSRRefT22_11x_0" localSheetId="54">'311'!$T$97:$T$98</definedName>
    <definedName name="OSRRefT22_11x_0" localSheetId="57">'315'!$T$122:$T$124</definedName>
    <definedName name="OSRRefT22_11x_0" localSheetId="60">'316'!$T$69</definedName>
    <definedName name="OSRRefT22_11x_0" localSheetId="66">'321'!$T$60</definedName>
    <definedName name="OSRRefT22_11x_0" localSheetId="68">'325'!$T$59:$T$62</definedName>
    <definedName name="OSRRefT22_11x_0" localSheetId="58">'326'!$T$84:$T$85</definedName>
    <definedName name="OSRRefT22_11x_0" localSheetId="51">'330'!$T$80</definedName>
    <definedName name="OSRRefT22_11x_0" localSheetId="56">'331'!$T$120</definedName>
    <definedName name="OSRRefT22_11x_0" localSheetId="59">'332'!$T$71</definedName>
    <definedName name="OSRRefT22_11x_0" localSheetId="73">'405'!$T$58:$T$61</definedName>
    <definedName name="OSRRefT22_11x_0" localSheetId="75">'411'!$T$58:$T$59</definedName>
    <definedName name="OSRRefT22_11x_0" localSheetId="79">'415'!$T$58:$T$61</definedName>
    <definedName name="OSRRefT22_11x_0" localSheetId="80">'418'!$T$55:$T$59</definedName>
    <definedName name="OSRRefT22_11x_0" localSheetId="88">'433'!$T$60:$T$62</definedName>
    <definedName name="OSRRefT22_11x_0" localSheetId="90">'444'!$T$60:$T$62</definedName>
    <definedName name="OSRRefT22_11x_0" localSheetId="91">'450'!$T$59</definedName>
    <definedName name="OSRRefT22_11x_0" localSheetId="72">'491'!$T$61</definedName>
    <definedName name="OSRRefT22_11x_0" localSheetId="86">'492'!$T$60</definedName>
    <definedName name="OSRRefT22_11x_0" localSheetId="39">'Div 2'!$T$57</definedName>
    <definedName name="OSRRefT22_11x_0" localSheetId="47">'Div 3'!$T$166</definedName>
    <definedName name="OSRRefT22_11x_0" localSheetId="70">'Div 4'!$T$64</definedName>
    <definedName name="OSRRefT22_11x_0" localSheetId="2">Summary!$T$192</definedName>
    <definedName name="OSRRefT22_12x_0" localSheetId="41">'201'!$T$56</definedName>
    <definedName name="OSRRefT22_12x_0" localSheetId="43">'203'!$T$60</definedName>
    <definedName name="OSRRefT22_12x_0" localSheetId="48">'300'!$T$163</definedName>
    <definedName name="OSRRefT22_12x_0" localSheetId="49">'300 &amp; 317'!$T$185</definedName>
    <definedName name="OSRRefT22_12x_0" localSheetId="50">'301'!$T$61</definedName>
    <definedName name="OSRRefT22_12x_0" localSheetId="52">'307'!$T$77</definedName>
    <definedName name="OSRRefT22_12x_0" localSheetId="53">'308'!$T$100:$T$101</definedName>
    <definedName name="OSRRefT22_12x_0" localSheetId="63">'310'!$T$66:$T$68</definedName>
    <definedName name="OSRRefT22_12x_0" localSheetId="71">'310 &amp; 491'!$T$72</definedName>
    <definedName name="OSRRefT22_12x_0" localSheetId="54">'311'!$T$100:$T$101</definedName>
    <definedName name="OSRRefT22_12x_0" localSheetId="57">'315'!$T$126</definedName>
    <definedName name="OSRRefT22_12x_0" localSheetId="60">'316'!$T$71</definedName>
    <definedName name="OSRRefT22_12x_0" localSheetId="68">'325'!$T$64</definedName>
    <definedName name="OSRRefT22_12x_0" localSheetId="58">'326'!$T$87</definedName>
    <definedName name="OSRRefT22_12x_0" localSheetId="51">'330'!$T$82</definedName>
    <definedName name="OSRRefT22_12x_0" localSheetId="56">'331'!$T$122:$T$124</definedName>
    <definedName name="OSRRefT22_12x_0" localSheetId="59">'332'!$T$73</definedName>
    <definedName name="OSRRefT22_12x_0" localSheetId="73">'405'!$T$63</definedName>
    <definedName name="OSRRefT22_12x_0" localSheetId="75">'411'!$T$61</definedName>
    <definedName name="OSRRefT22_12x_0" localSheetId="79">'415'!$T$63</definedName>
    <definedName name="OSRRefT22_12x_0" localSheetId="80">'418'!$T$61</definedName>
    <definedName name="OSRRefT22_12x_0" localSheetId="88">'433'!$T$64:$T$71</definedName>
    <definedName name="OSRRefT22_12x_0" localSheetId="90">'444'!$T$64:$T$70</definedName>
    <definedName name="OSRRefT22_12x_0" localSheetId="91">'450'!$T$61:$T$62</definedName>
    <definedName name="OSRRefT22_12x_0" localSheetId="72">'491'!$T$63</definedName>
    <definedName name="OSRRefT22_12x_0" localSheetId="86">'492'!$T$62:$T$64</definedName>
    <definedName name="OSRRefT22_12x_0" localSheetId="39">'Div 2'!$T$59:$T$61</definedName>
    <definedName name="OSRRefT22_12x_0" localSheetId="47">'Div 3'!$T$168</definedName>
    <definedName name="OSRRefT22_12x_0" localSheetId="70">'Div 4'!$T$66</definedName>
    <definedName name="OSRRefT22_12x_0" localSheetId="2">Summary!$T$194</definedName>
    <definedName name="OSRRefT22_13x_0" localSheetId="48">'300'!$T$165:$T$166</definedName>
    <definedName name="OSRRefT22_13x_0" localSheetId="49">'300 &amp; 317'!$T$187:$T$188</definedName>
    <definedName name="OSRRefT22_13x_0" localSheetId="50">'301'!$T$63</definedName>
    <definedName name="OSRRefT22_13x_0" localSheetId="53">'308'!$T$103</definedName>
    <definedName name="OSRRefT22_13x_0" localSheetId="63">'310'!$T$70:$T$74</definedName>
    <definedName name="OSRRefT22_13x_0" localSheetId="71">'310 &amp; 491'!$T$74:$T$76</definedName>
    <definedName name="OSRRefT22_13x_0" localSheetId="54">'311'!$T$103</definedName>
    <definedName name="OSRRefT22_13x_0" localSheetId="57">'315'!$T$128</definedName>
    <definedName name="OSRRefT22_13x_0" localSheetId="68">'325'!$T$66</definedName>
    <definedName name="OSRRefT22_13x_0" localSheetId="58">'326'!$T$89:$T$92</definedName>
    <definedName name="OSRRefT22_13x_0" localSheetId="56">'331'!$T$126:$T$127</definedName>
    <definedName name="OSRRefT22_13x_0" localSheetId="73">'405'!$T$65:$T$71</definedName>
    <definedName name="OSRRefT22_13x_0" localSheetId="75">'411'!$T$63</definedName>
    <definedName name="OSRRefT22_13x_0" localSheetId="79">'415'!$T$65:$T$70</definedName>
    <definedName name="OSRRefT22_13x_0" localSheetId="88">'433'!$T$73</definedName>
    <definedName name="OSRRefT22_13x_0" localSheetId="90">'444'!$T$72</definedName>
    <definedName name="OSRRefT22_13x_0" localSheetId="91">'450'!$T$64:$T$66</definedName>
    <definedName name="OSRRefT22_13x_0" localSheetId="72">'491'!$T$65:$T$67</definedName>
    <definedName name="OSRRefT22_13x_0" localSheetId="86">'492'!$T$66:$T$68</definedName>
    <definedName name="OSRRefT22_13x_0" localSheetId="39">'Div 2'!$T$63:$T$66</definedName>
    <definedName name="OSRRefT22_13x_0" localSheetId="47">'Div 3'!$T$170</definedName>
    <definedName name="OSRRefT22_13x_0" localSheetId="70">'Div 4'!$T$68</definedName>
    <definedName name="OSRRefT22_13x_0" localSheetId="2">Summary!$T$196</definedName>
    <definedName name="OSRRefT22_14x_0" localSheetId="48">'300'!$T$168</definedName>
    <definedName name="OSRRefT22_14x_0" localSheetId="49">'300 &amp; 317'!$T$190</definedName>
    <definedName name="OSRRefT22_14x_0" localSheetId="50">'301'!$T$65</definedName>
    <definedName name="OSRRefT22_14x_0" localSheetId="63">'310'!$T$76</definedName>
    <definedName name="OSRRefT22_14x_0" localSheetId="71">'310 &amp; 491'!$T$78</definedName>
    <definedName name="OSRRefT22_14x_0" localSheetId="58">'326'!$T$94</definedName>
    <definedName name="OSRRefT22_14x_0" localSheetId="56">'331'!$T$129:$T$130</definedName>
    <definedName name="OSRRefT22_14x_0" localSheetId="73">'405'!$T$73</definedName>
    <definedName name="OSRRefT22_14x_0" localSheetId="75">'411'!$T$65</definedName>
    <definedName name="OSRRefT22_14x_0" localSheetId="79">'415'!$T$72</definedName>
    <definedName name="OSRRefT22_14x_0" localSheetId="90">'444'!$T$74</definedName>
    <definedName name="OSRRefT22_14x_0" localSheetId="91">'450'!$T$68:$T$73</definedName>
    <definedName name="OSRRefT22_14x_0" localSheetId="72">'491'!$T$69</definedName>
    <definedName name="OSRRefT22_14x_0" localSheetId="86">'492'!$T$70:$T$77</definedName>
    <definedName name="OSRRefT22_14x_0" localSheetId="39">'Div 2'!$T$68</definedName>
    <definedName name="OSRRefT22_14x_0" localSheetId="47">'Div 3'!$T$172:$T$173</definedName>
    <definedName name="OSRRefT22_14x_0" localSheetId="70">'Div 4'!$T$70</definedName>
    <definedName name="OSRRefT22_14x_0" localSheetId="2">Summary!$T$198:$T$199</definedName>
    <definedName name="OSRRefT22_15x_0" localSheetId="48">'300'!$T$170</definedName>
    <definedName name="OSRRefT22_15x_0" localSheetId="49">'300 &amp; 317'!$T$192</definedName>
    <definedName name="OSRRefT22_15x_0" localSheetId="50">'301'!$T$67:$T$70</definedName>
    <definedName name="OSRRefT22_15x_0" localSheetId="63">'310'!$T$78</definedName>
    <definedName name="OSRRefT22_15x_0" localSheetId="71">'310 &amp; 491'!$T$80:$T$83</definedName>
    <definedName name="OSRRefT22_15x_0" localSheetId="58">'326'!$T$96</definedName>
    <definedName name="OSRRefT22_15x_0" localSheetId="56">'331'!$T$132</definedName>
    <definedName name="OSRRefT22_15x_0" localSheetId="73">'405'!$T$75</definedName>
    <definedName name="OSRRefT22_15x_0" localSheetId="79">'415'!$T$74</definedName>
    <definedName name="OSRRefT22_15x_0" localSheetId="91">'450'!$T$75</definedName>
    <definedName name="OSRRefT22_15x_0" localSheetId="72">'491'!$T$71:$T$74</definedName>
    <definedName name="OSRRefT22_15x_0" localSheetId="86">'492'!$T$79</definedName>
    <definedName name="OSRRefT22_15x_0" localSheetId="39">'Div 2'!$T$70</definedName>
    <definedName name="OSRRefT22_15x_0" localSheetId="47">'Div 3'!$T$175</definedName>
    <definedName name="OSRRefT22_15x_0" localSheetId="70">'Div 4'!$T$72:$T$74</definedName>
    <definedName name="OSRRefT22_15x_0" localSheetId="2">Summary!$T$201</definedName>
    <definedName name="OSRRefT22_16x_0" localSheetId="48">'300'!$T$172:$T$175</definedName>
    <definedName name="OSRRefT22_16x_0" localSheetId="49">'300 &amp; 317'!$T$194:$T$197</definedName>
    <definedName name="OSRRefT22_16x_0" localSheetId="50">'301'!$T$72:$T$74</definedName>
    <definedName name="OSRRefT22_16x_0" localSheetId="71">'310 &amp; 491'!$T$85</definedName>
    <definedName name="OSRRefT22_16x_0" localSheetId="58">'326'!$T$98</definedName>
    <definedName name="OSRRefT22_16x_0" localSheetId="56">'331'!$T$134:$T$137</definedName>
    <definedName name="OSRRefT22_16x_0" localSheetId="91">'450'!$T$77</definedName>
    <definedName name="OSRRefT22_16x_0" localSheetId="72">'491'!$T$76</definedName>
    <definedName name="OSRRefT22_16x_0" localSheetId="86">'492'!$T$81</definedName>
    <definedName name="OSRRefT22_16x_0" localSheetId="39">'Div 2'!$T$72:$T$76</definedName>
    <definedName name="OSRRefT22_16x_0" localSheetId="47">'Div 3'!$T$177</definedName>
    <definedName name="OSRRefT22_16x_0" localSheetId="70">'Div 4'!$T$76</definedName>
    <definedName name="OSRRefT22_16x_0" localSheetId="2">Summary!$T$203</definedName>
    <definedName name="OSRRefT22_17x_0" localSheetId="48">'300'!$T$177:$T$179</definedName>
    <definedName name="OSRRefT22_17x_0" localSheetId="49">'300 &amp; 317'!$T$199:$T$201</definedName>
    <definedName name="OSRRefT22_17x_0" localSheetId="50">'301'!$T$76</definedName>
    <definedName name="OSRRefT22_17x_0" localSheetId="71">'310 &amp; 491'!$T$87:$T$94</definedName>
    <definedName name="OSRRefT22_17x_0" localSheetId="56">'331'!$T$139</definedName>
    <definedName name="OSRRefT22_17x_0" localSheetId="72">'491'!$T$78:$T$85</definedName>
    <definedName name="OSRRefT22_17x_0" localSheetId="86">'492'!$T$83:$T$84</definedName>
    <definedName name="OSRRefT22_17x_0" localSheetId="39">'Div 2'!$T$78:$T$79</definedName>
    <definedName name="OSRRefT22_17x_0" localSheetId="47">'Div 3'!$T$179:$T$182</definedName>
    <definedName name="OSRRefT22_17x_0" localSheetId="70">'Div 4'!$T$78:$T$81</definedName>
    <definedName name="OSRRefT22_17x_0" localSheetId="2">Summary!$T$205</definedName>
    <definedName name="OSRRefT22_18x_0" localSheetId="48">'300'!$T$181:$T$184</definedName>
    <definedName name="OSRRefT22_18x_0" localSheetId="49">'300 &amp; 317'!$T$203:$T$206</definedName>
    <definedName name="OSRRefT22_18x_0" localSheetId="50">'301'!$T$78:$T$83</definedName>
    <definedName name="OSRRefT22_18x_0" localSheetId="71">'310 &amp; 491'!$T$96</definedName>
    <definedName name="OSRRefT22_18x_0" localSheetId="56">'331'!$T$141</definedName>
    <definedName name="OSRRefT22_18x_0" localSheetId="72">'491'!$T$87</definedName>
    <definedName name="OSRRefT22_18x_0" localSheetId="39">'Div 2'!$T$81</definedName>
    <definedName name="OSRRefT22_18x_0" localSheetId="47">'Div 3'!$T$184:$T$186</definedName>
    <definedName name="OSRRefT22_18x_0" localSheetId="70">'Div 4'!$T$83</definedName>
    <definedName name="OSRRefT22_18x_0" localSheetId="2">Summary!$T$207:$T$210</definedName>
    <definedName name="OSRRefT22_19x_0" localSheetId="48">'300'!$T$186:$T$187</definedName>
    <definedName name="OSRRefT22_19x_0" localSheetId="49">'300 &amp; 317'!$T$208:$T$209</definedName>
    <definedName name="OSRRefT22_19x_0" localSheetId="50">'301'!$T$85</definedName>
    <definedName name="OSRRefT22_19x_0" localSheetId="71">'310 &amp; 491'!$T$98</definedName>
    <definedName name="OSRRefT22_19x_0" localSheetId="56">'331'!$T$143</definedName>
    <definedName name="OSRRefT22_19x_0" localSheetId="72">'491'!$T$89</definedName>
    <definedName name="OSRRefT22_19x_0" localSheetId="39">'Div 2'!$T$83</definedName>
    <definedName name="OSRRefT22_19x_0" localSheetId="47">'Div 3'!$T$188:$T$192</definedName>
    <definedName name="OSRRefT22_19x_0" localSheetId="70">'Div 4'!$T$85:$T$93</definedName>
    <definedName name="OSRRefT22_19x_0" localSheetId="2">Summary!$T$212:$T$214</definedName>
    <definedName name="OSRRefT22_1x_0" localSheetId="40">'200'!$T$22</definedName>
    <definedName name="OSRRefT22_1x_0" localSheetId="41">'201'!$T$29:$T$31</definedName>
    <definedName name="OSRRefT22_1x_0" localSheetId="42">'202'!$T$29:$T$31</definedName>
    <definedName name="OSRRefT22_1x_0" localSheetId="43">'203'!$T$30:$T$33</definedName>
    <definedName name="OSRRefT22_1x_0" localSheetId="44">'204'!$T$30:$T$32</definedName>
    <definedName name="OSRRefT22_1x_0" localSheetId="45">'205'!$T$29</definedName>
    <definedName name="OSRRefT22_1x_0" localSheetId="46">'206'!$T$28:$T$30</definedName>
    <definedName name="OSRRefT22_1x_0" localSheetId="48">'300'!$T$132:$T$138</definedName>
    <definedName name="OSRRefT22_1x_0" localSheetId="49">'300 &amp; 317'!$T$154:$T$160</definedName>
    <definedName name="OSRRefT22_1x_0" localSheetId="50">'301'!$T$32:$T$38</definedName>
    <definedName name="OSRRefT22_1x_0" localSheetId="52">'307'!$T$47:$T$49</definedName>
    <definedName name="OSRRefT22_1x_0" localSheetId="53">'308'!$T$69:$T$75</definedName>
    <definedName name="OSRRefT22_1x_0" localSheetId="64">'309'!$T$22:$T$23</definedName>
    <definedName name="OSRRefT22_1x_0" localSheetId="63">'310'!$T$40:$T$42</definedName>
    <definedName name="OSRRefT22_1x_0" localSheetId="71">'310 &amp; 491'!$T$44:$T$48</definedName>
    <definedName name="OSRRefT22_1x_0" localSheetId="54">'311'!$T$69:$T$75</definedName>
    <definedName name="OSRRefT22_1x_0" localSheetId="65">'313'!$T$34</definedName>
    <definedName name="OSRRefT22_1x_0" localSheetId="57">'315'!$T$93:$T$97</definedName>
    <definedName name="OSRRefT22_1x_0" localSheetId="60">'316'!$T$40:$T$42</definedName>
    <definedName name="OSRRefT22_1x_0" localSheetId="62">'317'!$T$63:$T$67</definedName>
    <definedName name="OSRRefT22_1x_0" localSheetId="66">'321'!$T$32:$T$34</definedName>
    <definedName name="OSRRefT22_1x_0" localSheetId="67">'322'!$T$27</definedName>
    <definedName name="OSRRefT22_1x_0" localSheetId="68">'325'!$T$33:$T$35</definedName>
    <definedName name="OSRRefT22_1x_0" localSheetId="58">'326'!$T$58:$T$62</definedName>
    <definedName name="OSRRefT22_1x_0" localSheetId="51">'330'!$T$51:$T$53</definedName>
    <definedName name="OSRRefT22_1x_0" localSheetId="56">'331'!$T$93:$T$97</definedName>
    <definedName name="OSRRefT22_1x_0" localSheetId="59">'332'!$T$42:$T$44</definedName>
    <definedName name="OSRRefT22_1x_0" localSheetId="73">'405'!$T$33:$T$36</definedName>
    <definedName name="OSRRefT22_1x_0" localSheetId="74">'406'!$T$22</definedName>
    <definedName name="OSRRefT22_1x_0" localSheetId="75">'411'!$T$29:$T$33</definedName>
    <definedName name="OSRRefT22_1x_0" localSheetId="76">'412'!$T$22</definedName>
    <definedName name="OSRRefT22_1x_0" localSheetId="77">'413'!$T$26</definedName>
    <definedName name="OSRRefT22_1x_0" localSheetId="78">'414'!$T$23</definedName>
    <definedName name="OSRRefT22_1x_0" localSheetId="79">'415'!$T$33:$T$36</definedName>
    <definedName name="OSRRefT22_1x_0" localSheetId="80">'418'!$T$30:$T$33</definedName>
    <definedName name="OSRRefT22_1x_0" localSheetId="82">'423'!$T$23</definedName>
    <definedName name="OSRRefT22_1x_0" localSheetId="83">'424'!$T$22</definedName>
    <definedName name="OSRRefT22_1x_0" localSheetId="84">'425'!$T$28</definedName>
    <definedName name="OSRRefT22_1x_0" localSheetId="87">'430'!$T$29</definedName>
    <definedName name="OSRRefT22_1x_0" localSheetId="88">'433'!$T$35:$T$39</definedName>
    <definedName name="OSRRefT22_1x_0" localSheetId="90">'444'!$T$35:$T$39</definedName>
    <definedName name="OSRRefT22_1x_0" localSheetId="91">'450'!$T$35:$T$39</definedName>
    <definedName name="OSRRefT22_1x_0" localSheetId="72">'491'!$T$36:$T$40</definedName>
    <definedName name="OSRRefT22_1x_0" localSheetId="86">'492'!$T$35:$T$40</definedName>
    <definedName name="OSRRefT22_1x_0" localSheetId="93">'501'!$T$31:$T$36</definedName>
    <definedName name="OSRRefT22_1x_0" localSheetId="39">'Div 2'!$T$31:$T$36</definedName>
    <definedName name="OSRRefT22_1x_0" localSheetId="47">'Div 3'!$T$137:$T$143</definedName>
    <definedName name="OSRRefT22_1x_0" localSheetId="70">'Div 4'!$T$38:$T$43</definedName>
    <definedName name="OSRRefT22_1x_0" localSheetId="92">'Div 5'!$T$31:$T$36</definedName>
    <definedName name="OSRRefT22_1x_0" localSheetId="61">'Div 6'!$T$63:$T$67</definedName>
    <definedName name="OSRRefT22_1x_0" localSheetId="2">Summary!$T$163:$T$169</definedName>
    <definedName name="OSRRefT22_20x_0" localSheetId="48">'300'!$T$189:$T$195</definedName>
    <definedName name="OSRRefT22_20x_0" localSheetId="49">'300 &amp; 317'!$T$211:$T$217</definedName>
    <definedName name="OSRRefT22_20x_0" localSheetId="50">'301'!$T$87</definedName>
    <definedName name="OSRRefT22_20x_0" localSheetId="71">'310 &amp; 491'!$T$100</definedName>
    <definedName name="OSRRefT22_20x_0" localSheetId="72">'491'!$T$91</definedName>
    <definedName name="OSRRefT22_20x_0" localSheetId="47">'Div 3'!$T$194:$T$195</definedName>
    <definedName name="OSRRefT22_20x_0" localSheetId="70">'Div 4'!$T$95</definedName>
    <definedName name="OSRRefT22_20x_0" localSheetId="2">Summary!$T$216:$T$220</definedName>
    <definedName name="OSRRefT22_21x_0" localSheetId="48">'300'!$T$197:$T$198</definedName>
    <definedName name="OSRRefT22_21x_0" localSheetId="49">'300 &amp; 317'!$T$219:$T$220</definedName>
    <definedName name="OSRRefT22_21x_0" localSheetId="50">'301'!$T$89:$T$90</definedName>
    <definedName name="OSRRefT22_21x_0" localSheetId="47">'Div 3'!$T$197:$T$203</definedName>
    <definedName name="OSRRefT22_21x_0" localSheetId="70">'Div 4'!$T$97</definedName>
    <definedName name="OSRRefT22_21x_0" localSheetId="2">Summary!$T$222:$T$223</definedName>
    <definedName name="OSRRefT22_22x_0" localSheetId="48">'300'!$T$200</definedName>
    <definedName name="OSRRefT22_22x_0" localSheetId="49">'300 &amp; 317'!$T$222</definedName>
    <definedName name="OSRRefT22_22x_0" localSheetId="50">'301'!$T$92</definedName>
    <definedName name="OSRRefT22_22x_0" localSheetId="47">'Div 3'!$T$205:$T$206</definedName>
    <definedName name="OSRRefT22_22x_0" localSheetId="70">'Div 4'!$T$99:$T$100</definedName>
    <definedName name="OSRRefT22_22x_0" localSheetId="2">Summary!$T$225:$T$233</definedName>
    <definedName name="OSRRefT22_23x_0" localSheetId="48">'300'!$T$202:$T$204</definedName>
    <definedName name="OSRRefT22_23x_0" localSheetId="49">'300 &amp; 317'!$T$224:$T$226</definedName>
    <definedName name="OSRRefT22_23x_0" localSheetId="47">'Div 3'!$T$208</definedName>
    <definedName name="OSRRefT22_23x_0" localSheetId="70">'Div 4'!$T$102</definedName>
    <definedName name="OSRRefT22_23x_0" localSheetId="2">Summary!$T$235:$T$236</definedName>
    <definedName name="OSRRefT22_24x_0" localSheetId="48">'300'!$T$206</definedName>
    <definedName name="OSRRefT22_24x_0" localSheetId="49">'300 &amp; 317'!$T$228</definedName>
    <definedName name="OSRRefT22_24x_0" localSheetId="47">'Div 3'!$T$210:$T$212</definedName>
    <definedName name="OSRRefT22_24x_0" localSheetId="2">Summary!$T$238</definedName>
    <definedName name="OSRRefT22_25x_0" localSheetId="47">'Div 3'!$T$214</definedName>
    <definedName name="OSRRefT22_25x_0" localSheetId="2">Summary!$T$240:$T$242</definedName>
    <definedName name="OSRRefT22_26x_0" localSheetId="2">Summary!$T$244</definedName>
    <definedName name="OSRRefT22_2x_0" localSheetId="40">'200'!$T$24</definedName>
    <definedName name="OSRRefT22_2x_0" localSheetId="41">'201'!$T$33</definedName>
    <definedName name="OSRRefT22_2x_0" localSheetId="42">'202'!$T$33</definedName>
    <definedName name="OSRRefT22_2x_0" localSheetId="43">'203'!$T$35</definedName>
    <definedName name="OSRRefT22_2x_0" localSheetId="44">'204'!$T$34</definedName>
    <definedName name="OSRRefT22_2x_0" localSheetId="45">'205'!$T$31</definedName>
    <definedName name="OSRRefT22_2x_0" localSheetId="46">'206'!$T$32</definedName>
    <definedName name="OSRRefT22_2x_0" localSheetId="48">'300'!$T$140</definedName>
    <definedName name="OSRRefT22_2x_0" localSheetId="49">'300 &amp; 317'!$T$162</definedName>
    <definedName name="OSRRefT22_2x_0" localSheetId="50">'301'!$T$40</definedName>
    <definedName name="OSRRefT22_2x_0" localSheetId="52">'307'!$T$51</definedName>
    <definedName name="OSRRefT22_2x_0" localSheetId="53">'308'!$T$77</definedName>
    <definedName name="OSRRefT22_2x_0" localSheetId="64">'309'!$T$25:$T$26</definedName>
    <definedName name="OSRRefT22_2x_0" localSheetId="63">'310'!$T$44</definedName>
    <definedName name="OSRRefT22_2x_0" localSheetId="71">'310 &amp; 491'!$T$50</definedName>
    <definedName name="OSRRefT22_2x_0" localSheetId="54">'311'!$T$77</definedName>
    <definedName name="OSRRefT22_2x_0" localSheetId="65">'313'!$T$36</definedName>
    <definedName name="OSRRefT22_2x_0" localSheetId="57">'315'!$T$99</definedName>
    <definedName name="OSRRefT22_2x_0" localSheetId="60">'316'!$T$44</definedName>
    <definedName name="OSRRefT22_2x_0" localSheetId="62">'317'!$T$69</definedName>
    <definedName name="OSRRefT22_2x_0" localSheetId="66">'321'!$T$36</definedName>
    <definedName name="OSRRefT22_2x_0" localSheetId="67">'322'!$T$29</definedName>
    <definedName name="OSRRefT22_2x_0" localSheetId="68">'325'!$T$37</definedName>
    <definedName name="OSRRefT22_2x_0" localSheetId="58">'326'!$T$64</definedName>
    <definedName name="OSRRefT22_2x_0" localSheetId="51">'330'!$T$55</definedName>
    <definedName name="OSRRefT22_2x_0" localSheetId="56">'331'!$T$99</definedName>
    <definedName name="OSRRefT22_2x_0" localSheetId="59">'332'!$T$46</definedName>
    <definedName name="OSRRefT22_2x_0" localSheetId="73">'405'!$T$38</definedName>
    <definedName name="OSRRefT22_2x_0" localSheetId="74">'406'!$T$24</definedName>
    <definedName name="OSRRefT22_2x_0" localSheetId="75">'411'!$T$35</definedName>
    <definedName name="OSRRefT22_2x_0" localSheetId="76">'412'!$T$24</definedName>
    <definedName name="OSRRefT22_2x_0" localSheetId="77">'413'!$T$28</definedName>
    <definedName name="OSRRefT22_2x_0" localSheetId="78">'414'!$T$25</definedName>
    <definedName name="OSRRefT22_2x_0" localSheetId="79">'415'!$T$38</definedName>
    <definedName name="OSRRefT22_2x_0" localSheetId="80">'418'!$T$35</definedName>
    <definedName name="OSRRefT22_2x_0" localSheetId="82">'423'!$T$25</definedName>
    <definedName name="OSRRefT22_2x_0" localSheetId="83">'424'!$T$24</definedName>
    <definedName name="OSRRefT22_2x_0" localSheetId="84">'425'!$T$30</definedName>
    <definedName name="OSRRefT22_2x_0" localSheetId="87">'430'!$T$31</definedName>
    <definedName name="OSRRefT22_2x_0" localSheetId="88">'433'!$T$41</definedName>
    <definedName name="OSRRefT22_2x_0" localSheetId="90">'444'!$T$41</definedName>
    <definedName name="OSRRefT22_2x_0" localSheetId="91">'450'!$T$41</definedName>
    <definedName name="OSRRefT22_2x_0" localSheetId="72">'491'!$T$42</definedName>
    <definedName name="OSRRefT22_2x_0" localSheetId="86">'492'!$T$42</definedName>
    <definedName name="OSRRefT22_2x_0" localSheetId="93">'501'!$T$38</definedName>
    <definedName name="OSRRefT22_2x_0" localSheetId="39">'Div 2'!$T$38</definedName>
    <definedName name="OSRRefT22_2x_0" localSheetId="47">'Div 3'!$T$145</definedName>
    <definedName name="OSRRefT22_2x_0" localSheetId="70">'Div 4'!$T$45</definedName>
    <definedName name="OSRRefT22_2x_0" localSheetId="92">'Div 5'!$T$38</definedName>
    <definedName name="OSRRefT22_2x_0" localSheetId="61">'Div 6'!$T$69</definedName>
    <definedName name="OSRRefT22_2x_0" localSheetId="2">Summary!$T$171</definedName>
    <definedName name="OSRRefT22_3x_0" localSheetId="40">'200'!$T$26</definedName>
    <definedName name="OSRRefT22_3x_0" localSheetId="41">'201'!$T$35</definedName>
    <definedName name="OSRRefT22_3x_0" localSheetId="42">'202'!$T$35</definedName>
    <definedName name="OSRRefT22_3x_0" localSheetId="43">'203'!$T$37</definedName>
    <definedName name="OSRRefT22_3x_0" localSheetId="44">'204'!$T$36</definedName>
    <definedName name="OSRRefT22_3x_0" localSheetId="45">'205'!$T$33</definedName>
    <definedName name="OSRRefT22_3x_0" localSheetId="46">'206'!$T$34</definedName>
    <definedName name="OSRRefT22_3x_0" localSheetId="48">'300'!$T$142</definedName>
    <definedName name="OSRRefT22_3x_0" localSheetId="49">'300 &amp; 317'!$T$164</definedName>
    <definedName name="OSRRefT22_3x_0" localSheetId="50">'301'!$T$42</definedName>
    <definedName name="OSRRefT22_3x_0" localSheetId="52">'307'!$T$53</definedName>
    <definedName name="OSRRefT22_3x_0" localSheetId="53">'308'!$T$79</definedName>
    <definedName name="OSRRefT22_3x_0" localSheetId="64">'309'!$T$28</definedName>
    <definedName name="OSRRefT22_3x_0" localSheetId="63">'310'!$T$46</definedName>
    <definedName name="OSRRefT22_3x_0" localSheetId="71">'310 &amp; 491'!$T$52</definedName>
    <definedName name="OSRRefT22_3x_0" localSheetId="54">'311'!$T$79</definedName>
    <definedName name="OSRRefT22_3x_0" localSheetId="65">'313'!$T$38</definedName>
    <definedName name="OSRRefT22_3x_0" localSheetId="57">'315'!$T$101:$T$102</definedName>
    <definedName name="OSRRefT22_3x_0" localSheetId="60">'316'!$T$46</definedName>
    <definedName name="OSRRefT22_3x_0" localSheetId="62">'317'!$T$71</definedName>
    <definedName name="OSRRefT22_3x_0" localSheetId="66">'321'!$T$38</definedName>
    <definedName name="OSRRefT22_3x_0" localSheetId="67">'322'!$T$31</definedName>
    <definedName name="OSRRefT22_3x_0" localSheetId="68">'325'!$T$39</definedName>
    <definedName name="OSRRefT22_3x_0" localSheetId="58">'326'!$T$66</definedName>
    <definedName name="OSRRefT22_3x_0" localSheetId="51">'330'!$T$57</definedName>
    <definedName name="OSRRefT22_3x_0" localSheetId="56">'331'!$T$101</definedName>
    <definedName name="OSRRefT22_3x_0" localSheetId="59">'332'!$T$48</definedName>
    <definedName name="OSRRefT22_3x_0" localSheetId="73">'405'!$T$40</definedName>
    <definedName name="OSRRefT22_3x_0" localSheetId="74">'406'!$T$26</definedName>
    <definedName name="OSRRefT22_3x_0" localSheetId="75">'411'!$T$37:$T$38</definedName>
    <definedName name="OSRRefT22_3x_0" localSheetId="76">'412'!$T$26</definedName>
    <definedName name="OSRRefT22_3x_0" localSheetId="77">'413'!$T$30</definedName>
    <definedName name="OSRRefT22_3x_0" localSheetId="78">'414'!$T$27</definedName>
    <definedName name="OSRRefT22_3x_0" localSheetId="79">'415'!$T$40</definedName>
    <definedName name="OSRRefT22_3x_0" localSheetId="80">'418'!$T$37</definedName>
    <definedName name="OSRRefT22_3x_0" localSheetId="82">'423'!$T$27</definedName>
    <definedName name="OSRRefT22_3x_0" localSheetId="83">'424'!$T$26</definedName>
    <definedName name="OSRRefT22_3x_0" localSheetId="84">'425'!$T$32</definedName>
    <definedName name="OSRRefT22_3x_0" localSheetId="87">'430'!$T$33</definedName>
    <definedName name="OSRRefT22_3x_0" localSheetId="88">'433'!$T$43</definedName>
    <definedName name="OSRRefT22_3x_0" localSheetId="90">'444'!$T$43</definedName>
    <definedName name="OSRRefT22_3x_0" localSheetId="91">'450'!$T$43</definedName>
    <definedName name="OSRRefT22_3x_0" localSheetId="72">'491'!$T$44</definedName>
    <definedName name="OSRRefT22_3x_0" localSheetId="86">'492'!$T$44</definedName>
    <definedName name="OSRRefT22_3x_0" localSheetId="93">'501'!$T$40</definedName>
    <definedName name="OSRRefT22_3x_0" localSheetId="39">'Div 2'!$T$40</definedName>
    <definedName name="OSRRefT22_3x_0" localSheetId="47">'Div 3'!$T$147</definedName>
    <definedName name="OSRRefT22_3x_0" localSheetId="70">'Div 4'!$T$47</definedName>
    <definedName name="OSRRefT22_3x_0" localSheetId="92">'Div 5'!$T$40</definedName>
    <definedName name="OSRRefT22_3x_0" localSheetId="61">'Div 6'!$T$71</definedName>
    <definedName name="OSRRefT22_3x_0" localSheetId="2">Summary!$T$173</definedName>
    <definedName name="OSRRefT22_4x_0" localSheetId="41">'201'!$T$37</definedName>
    <definedName name="OSRRefT22_4x_0" localSheetId="42">'202'!$T$37:$T$38</definedName>
    <definedName name="OSRRefT22_4x_0" localSheetId="43">'203'!$T$39</definedName>
    <definedName name="OSRRefT22_4x_0" localSheetId="44">'204'!$T$38:$T$41</definedName>
    <definedName name="OSRRefT22_4x_0" localSheetId="45">'205'!$T$35:$T$36</definedName>
    <definedName name="OSRRefT22_4x_0" localSheetId="46">'206'!$T$36</definedName>
    <definedName name="OSRRefT22_4x_0" localSheetId="48">'300'!$T$144</definedName>
    <definedName name="OSRRefT22_4x_0" localSheetId="49">'300 &amp; 317'!$T$166</definedName>
    <definedName name="OSRRefT22_4x_0" localSheetId="50">'301'!$T$44</definedName>
    <definedName name="OSRRefT22_4x_0" localSheetId="52">'307'!$T$55:$T$56</definedName>
    <definedName name="OSRRefT22_4x_0" localSheetId="53">'308'!$T$81</definedName>
    <definedName name="OSRRefT22_4x_0" localSheetId="63">'310'!$T$48</definedName>
    <definedName name="OSRRefT22_4x_0" localSheetId="71">'310 &amp; 491'!$T$54</definedName>
    <definedName name="OSRRefT22_4x_0" localSheetId="54">'311'!$T$81</definedName>
    <definedName name="OSRRefT22_4x_0" localSheetId="65">'313'!$T$40</definedName>
    <definedName name="OSRRefT22_4x_0" localSheetId="57">'315'!$T$104</definedName>
    <definedName name="OSRRefT22_4x_0" localSheetId="60">'316'!$T$48</definedName>
    <definedName name="OSRRefT22_4x_0" localSheetId="62">'317'!$T$73</definedName>
    <definedName name="OSRRefT22_4x_0" localSheetId="66">'321'!$T$40</definedName>
    <definedName name="OSRRefT22_4x_0" localSheetId="67">'322'!$T$33:$T$34</definedName>
    <definedName name="OSRRefT22_4x_0" localSheetId="68">'325'!$T$41</definedName>
    <definedName name="OSRRefT22_4x_0" localSheetId="58">'326'!$T$68</definedName>
    <definedName name="OSRRefT22_4x_0" localSheetId="51">'330'!$T$59:$T$60</definedName>
    <definedName name="OSRRefT22_4x_0" localSheetId="56">'331'!$T$103</definedName>
    <definedName name="OSRRefT22_4x_0" localSheetId="59">'332'!$T$50</definedName>
    <definedName name="OSRRefT22_4x_0" localSheetId="73">'405'!$T$42</definedName>
    <definedName name="OSRRefT22_4x_0" localSheetId="74">'406'!$T$28</definedName>
    <definedName name="OSRRefT22_4x_0" localSheetId="75">'411'!$T$40</definedName>
    <definedName name="OSRRefT22_4x_0" localSheetId="76">'412'!$T$28</definedName>
    <definedName name="OSRRefT22_4x_0" localSheetId="77">'413'!$T$32</definedName>
    <definedName name="OSRRefT22_4x_0" localSheetId="78">'414'!$T$29:$T$30</definedName>
    <definedName name="OSRRefT22_4x_0" localSheetId="79">'415'!$T$42</definedName>
    <definedName name="OSRRefT22_4x_0" localSheetId="80">'418'!$T$39:$T$40</definedName>
    <definedName name="OSRRefT22_4x_0" localSheetId="84">'425'!$T$34</definedName>
    <definedName name="OSRRefT22_4x_0" localSheetId="87">'430'!$T$35</definedName>
    <definedName name="OSRRefT22_4x_0" localSheetId="88">'433'!$T$45</definedName>
    <definedName name="OSRRefT22_4x_0" localSheetId="90">'444'!$T$45</definedName>
    <definedName name="OSRRefT22_4x_0" localSheetId="91">'450'!$T$45</definedName>
    <definedName name="OSRRefT22_4x_0" localSheetId="72">'491'!$T$46</definedName>
    <definedName name="OSRRefT22_4x_0" localSheetId="86">'492'!$T$46</definedName>
    <definedName name="OSRRefT22_4x_0" localSheetId="93">'501'!$T$42:$T$43</definedName>
    <definedName name="OSRRefT22_4x_0" localSheetId="39">'Div 2'!$T$42</definedName>
    <definedName name="OSRRefT22_4x_0" localSheetId="47">'Div 3'!$T$149</definedName>
    <definedName name="OSRRefT22_4x_0" localSheetId="70">'Div 4'!$T$49</definedName>
    <definedName name="OSRRefT22_4x_0" localSheetId="92">'Div 5'!$T$42:$T$43</definedName>
    <definedName name="OSRRefT22_4x_0" localSheetId="61">'Div 6'!$T$73</definedName>
    <definedName name="OSRRefT22_4x_0" localSheetId="2">Summary!$T$175</definedName>
    <definedName name="OSRRefT22_5x_0" localSheetId="41">'201'!$T$39</definedName>
    <definedName name="OSRRefT22_5x_0" localSheetId="42">'202'!$T$40</definedName>
    <definedName name="OSRRefT22_5x_0" localSheetId="43">'203'!$T$41</definedName>
    <definedName name="OSRRefT22_5x_0" localSheetId="44">'204'!$T$43</definedName>
    <definedName name="OSRRefT22_5x_0" localSheetId="45">'205'!$T$38:$T$39</definedName>
    <definedName name="OSRRefT22_5x_0" localSheetId="46">'206'!$T$38</definedName>
    <definedName name="OSRRefT22_5x_0" localSheetId="48">'300'!$T$146:$T$147</definedName>
    <definedName name="OSRRefT22_5x_0" localSheetId="49">'300 &amp; 317'!$T$168:$T$169</definedName>
    <definedName name="OSRRefT22_5x_0" localSheetId="50">'301'!$T$46:$T$47</definedName>
    <definedName name="OSRRefT22_5x_0" localSheetId="52">'307'!$T$58</definedName>
    <definedName name="OSRRefT22_5x_0" localSheetId="53">'308'!$T$83</definedName>
    <definedName name="OSRRefT22_5x_0" localSheetId="63">'310'!$T$50:$T$51</definedName>
    <definedName name="OSRRefT22_5x_0" localSheetId="71">'310 &amp; 491'!$T$56:$T$57</definedName>
    <definedName name="OSRRefT22_5x_0" localSheetId="54">'311'!$T$83</definedName>
    <definedName name="OSRRefT22_5x_0" localSheetId="65">'313'!$T$42</definedName>
    <definedName name="OSRRefT22_5x_0" localSheetId="57">'315'!$T$106:$T$107</definedName>
    <definedName name="OSRRefT22_5x_0" localSheetId="60">'316'!$T$50</definedName>
    <definedName name="OSRRefT22_5x_0" localSheetId="62">'317'!$T$75:$T$76</definedName>
    <definedName name="OSRRefT22_5x_0" localSheetId="66">'321'!$T$42</definedName>
    <definedName name="OSRRefT22_5x_0" localSheetId="67">'322'!$T$36</definedName>
    <definedName name="OSRRefT22_5x_0" localSheetId="68">'325'!$T$43:$T$44</definedName>
    <definedName name="OSRRefT22_5x_0" localSheetId="58">'326'!$T$70</definedName>
    <definedName name="OSRRefT22_5x_0" localSheetId="51">'330'!$T$62:$T$63</definedName>
    <definedName name="OSRRefT22_5x_0" localSheetId="56">'331'!$T$105:$T$106</definedName>
    <definedName name="OSRRefT22_5x_0" localSheetId="59">'332'!$T$52</definedName>
    <definedName name="OSRRefT22_5x_0" localSheetId="73">'405'!$T$44:$T$45</definedName>
    <definedName name="OSRRefT22_5x_0" localSheetId="75">'411'!$T$42</definedName>
    <definedName name="OSRRefT22_5x_0" localSheetId="77">'413'!$T$34</definedName>
    <definedName name="OSRRefT22_5x_0" localSheetId="79">'415'!$T$44:$T$45</definedName>
    <definedName name="OSRRefT22_5x_0" localSheetId="80">'418'!$T$42</definedName>
    <definedName name="OSRRefT22_5x_0" localSheetId="84">'425'!$T$36</definedName>
    <definedName name="OSRRefT22_5x_0" localSheetId="87">'430'!$T$37:$T$38</definedName>
    <definedName name="OSRRefT22_5x_0" localSheetId="88">'433'!$T$47</definedName>
    <definedName name="OSRRefT22_5x_0" localSheetId="90">'444'!$T$47</definedName>
    <definedName name="OSRRefT22_5x_0" localSheetId="91">'450'!$T$47</definedName>
    <definedName name="OSRRefT22_5x_0" localSheetId="72">'491'!$T$48:$T$49</definedName>
    <definedName name="OSRRefT22_5x_0" localSheetId="86">'492'!$T$48</definedName>
    <definedName name="OSRRefT22_5x_0" localSheetId="93">'501'!$T$45</definedName>
    <definedName name="OSRRefT22_5x_0" localSheetId="39">'Div 2'!$T$44</definedName>
    <definedName name="OSRRefT22_5x_0" localSheetId="47">'Div 3'!$T$151:$T$152</definedName>
    <definedName name="OSRRefT22_5x_0" localSheetId="70">'Div 4'!$T$51:$T$52</definedName>
    <definedName name="OSRRefT22_5x_0" localSheetId="92">'Div 5'!$T$45</definedName>
    <definedName name="OSRRefT22_5x_0" localSheetId="61">'Div 6'!$T$75:$T$76</definedName>
    <definedName name="OSRRefT22_5x_0" localSheetId="2">Summary!$T$177:$T$178</definedName>
    <definedName name="OSRRefT22_6x_0" localSheetId="41">'201'!$T$41</definedName>
    <definedName name="OSRRefT22_6x_0" localSheetId="42">'202'!$T$42:$T$44</definedName>
    <definedName name="OSRRefT22_6x_0" localSheetId="43">'203'!$T$43</definedName>
    <definedName name="OSRRefT22_6x_0" localSheetId="44">'204'!$T$45:$T$46</definedName>
    <definedName name="OSRRefT22_6x_0" localSheetId="45">'205'!$T$41</definedName>
    <definedName name="OSRRefT22_6x_0" localSheetId="46">'206'!$T$40</definedName>
    <definedName name="OSRRefT22_6x_0" localSheetId="48">'300'!$T$149:$T$150</definedName>
    <definedName name="OSRRefT22_6x_0" localSheetId="49">'300 &amp; 317'!$T$171:$T$172</definedName>
    <definedName name="OSRRefT22_6x_0" localSheetId="50">'301'!$T$49</definedName>
    <definedName name="OSRRefT22_6x_0" localSheetId="52">'307'!$T$60</definedName>
    <definedName name="OSRRefT22_6x_0" localSheetId="53">'308'!$T$85</definedName>
    <definedName name="OSRRefT22_6x_0" localSheetId="63">'310'!$T$53</definedName>
    <definedName name="OSRRefT22_6x_0" localSheetId="71">'310 &amp; 491'!$T$59</definedName>
    <definedName name="OSRRefT22_6x_0" localSheetId="54">'311'!$T$85</definedName>
    <definedName name="OSRRefT22_6x_0" localSheetId="65">'313'!$T$44</definedName>
    <definedName name="OSRRefT22_6x_0" localSheetId="57">'315'!$T$109:$T$110</definedName>
    <definedName name="OSRRefT22_6x_0" localSheetId="60">'316'!$T$52:$T$53</definedName>
    <definedName name="OSRRefT22_6x_0" localSheetId="62">'317'!$T$78</definedName>
    <definedName name="OSRRefT22_6x_0" localSheetId="66">'321'!$T$44:$T$45</definedName>
    <definedName name="OSRRefT22_6x_0" localSheetId="67">'322'!$T$38</definedName>
    <definedName name="OSRRefT22_6x_0" localSheetId="68">'325'!$T$46</definedName>
    <definedName name="OSRRefT22_6x_0" localSheetId="58">'326'!$T$72</definedName>
    <definedName name="OSRRefT22_6x_0" localSheetId="51">'330'!$T$65</definedName>
    <definedName name="OSRRefT22_6x_0" localSheetId="56">'331'!$T$108</definedName>
    <definedName name="OSRRefT22_6x_0" localSheetId="59">'332'!$T$54:$T$55</definedName>
    <definedName name="OSRRefT22_6x_0" localSheetId="73">'405'!$T$47</definedName>
    <definedName name="OSRRefT22_6x_0" localSheetId="75">'411'!$T$44</definedName>
    <definedName name="OSRRefT22_6x_0" localSheetId="79">'415'!$T$47</definedName>
    <definedName name="OSRRefT22_6x_0" localSheetId="80">'418'!$T$44</definedName>
    <definedName name="OSRRefT22_6x_0" localSheetId="84">'425'!$T$38</definedName>
    <definedName name="OSRRefT22_6x_0" localSheetId="87">'430'!$T$40</definedName>
    <definedName name="OSRRefT22_6x_0" localSheetId="88">'433'!$T$49</definedName>
    <definedName name="OSRRefT22_6x_0" localSheetId="90">'444'!$T$49</definedName>
    <definedName name="OSRRefT22_6x_0" localSheetId="91">'450'!$T$49</definedName>
    <definedName name="OSRRefT22_6x_0" localSheetId="72">'491'!$T$51</definedName>
    <definedName name="OSRRefT22_6x_0" localSheetId="86">'492'!$T$50</definedName>
    <definedName name="OSRRefT22_6x_0" localSheetId="93">'501'!$T$47</definedName>
    <definedName name="OSRRefT22_6x_0" localSheetId="39">'Div 2'!$T$46</definedName>
    <definedName name="OSRRefT22_6x_0" localSheetId="47">'Div 3'!$T$154:$T$155</definedName>
    <definedName name="OSRRefT22_6x_0" localSheetId="70">'Div 4'!$T$54</definedName>
    <definedName name="OSRRefT22_6x_0" localSheetId="92">'Div 5'!$T$47</definedName>
    <definedName name="OSRRefT22_6x_0" localSheetId="61">'Div 6'!$T$78</definedName>
    <definedName name="OSRRefT22_6x_0" localSheetId="2">Summary!$T$180:$T$181</definedName>
    <definedName name="OSRRefT22_7x_0" localSheetId="41">'201'!$T$43</definedName>
    <definedName name="OSRRefT22_7x_0" localSheetId="42">'202'!$T$46</definedName>
    <definedName name="OSRRefT22_7x_0" localSheetId="43">'203'!$T$45:$T$46</definedName>
    <definedName name="OSRRefT22_7x_0" localSheetId="48">'300'!$T$152</definedName>
    <definedName name="OSRRefT22_7x_0" localSheetId="49">'300 &amp; 317'!$T$174</definedName>
    <definedName name="OSRRefT22_7x_0" localSheetId="50">'301'!$T$51</definedName>
    <definedName name="OSRRefT22_7x_0" localSheetId="52">'307'!$T$62</definedName>
    <definedName name="OSRRefT22_7x_0" localSheetId="53">'308'!$T$87</definedName>
    <definedName name="OSRRefT22_7x_0" localSheetId="63">'310'!$T$55</definedName>
    <definedName name="OSRRefT22_7x_0" localSheetId="71">'310 &amp; 491'!$T$61</definedName>
    <definedName name="OSRRefT22_7x_0" localSheetId="54">'311'!$T$87</definedName>
    <definedName name="OSRRefT22_7x_0" localSheetId="57">'315'!$T$112</definedName>
    <definedName name="OSRRefT22_7x_0" localSheetId="60">'316'!$T$55</definedName>
    <definedName name="OSRRefT22_7x_0" localSheetId="62">'317'!$T$80</definedName>
    <definedName name="OSRRefT22_7x_0" localSheetId="66">'321'!$T$47</definedName>
    <definedName name="OSRRefT22_7x_0" localSheetId="67">'322'!$T$40</definedName>
    <definedName name="OSRRefT22_7x_0" localSheetId="68">'325'!$T$48</definedName>
    <definedName name="OSRRefT22_7x_0" localSheetId="58">'326'!$T$74</definedName>
    <definedName name="OSRRefT22_7x_0" localSheetId="51">'330'!$T$67</definedName>
    <definedName name="OSRRefT22_7x_0" localSheetId="56">'331'!$T$110:$T$111</definedName>
    <definedName name="OSRRefT22_7x_0" localSheetId="59">'332'!$T$57</definedName>
    <definedName name="OSRRefT22_7x_0" localSheetId="73">'405'!$T$49</definedName>
    <definedName name="OSRRefT22_7x_0" localSheetId="75">'411'!$T$46</definedName>
    <definedName name="OSRRefT22_7x_0" localSheetId="79">'415'!$T$49</definedName>
    <definedName name="OSRRefT22_7x_0" localSheetId="80">'418'!$T$46</definedName>
    <definedName name="OSRRefT22_7x_0" localSheetId="84">'425'!$T$40</definedName>
    <definedName name="OSRRefT22_7x_0" localSheetId="87">'430'!$T$42</definedName>
    <definedName name="OSRRefT22_7x_0" localSheetId="88">'433'!$T$51</definedName>
    <definedName name="OSRRefT22_7x_0" localSheetId="90">'444'!$T$51</definedName>
    <definedName name="OSRRefT22_7x_0" localSheetId="91">'450'!$T$51</definedName>
    <definedName name="OSRRefT22_7x_0" localSheetId="72">'491'!$T$53</definedName>
    <definedName name="OSRRefT22_7x_0" localSheetId="86">'492'!$T$52</definedName>
    <definedName name="OSRRefT22_7x_0" localSheetId="93">'501'!$T$49:$T$50</definedName>
    <definedName name="OSRRefT22_7x_0" localSheetId="39">'Div 2'!$T$48</definedName>
    <definedName name="OSRRefT22_7x_0" localSheetId="47">'Div 3'!$T$157</definedName>
    <definedName name="OSRRefT22_7x_0" localSheetId="70">'Div 4'!$T$56</definedName>
    <definedName name="OSRRefT22_7x_0" localSheetId="92">'Div 5'!$T$49:$T$50</definedName>
    <definedName name="OSRRefT22_7x_0" localSheetId="61">'Div 6'!$T$80</definedName>
    <definedName name="OSRRefT22_7x_0" localSheetId="2">Summary!$T$183</definedName>
    <definedName name="OSRRefT22_8x_0" localSheetId="41">'201'!$T$45:$T$46</definedName>
    <definedName name="OSRRefT22_8x_0" localSheetId="42">'202'!$T$48:$T$49</definedName>
    <definedName name="OSRRefT22_8x_0" localSheetId="43">'203'!$T$48:$T$49</definedName>
    <definedName name="OSRRefT22_8x_0" localSheetId="48">'300'!$T$154</definedName>
    <definedName name="OSRRefT22_8x_0" localSheetId="49">'300 &amp; 317'!$T$176</definedName>
    <definedName name="OSRRefT22_8x_0" localSheetId="50">'301'!$T$53</definedName>
    <definedName name="OSRRefT22_8x_0" localSheetId="52">'307'!$T$64:$T$65</definedName>
    <definedName name="OSRRefT22_8x_0" localSheetId="53">'308'!$T$89</definedName>
    <definedName name="OSRRefT22_8x_0" localSheetId="63">'310'!$T$57</definedName>
    <definedName name="OSRRefT22_8x_0" localSheetId="71">'310 &amp; 491'!$T$63:$T$64</definedName>
    <definedName name="OSRRefT22_8x_0" localSheetId="54">'311'!$T$89</definedName>
    <definedName name="OSRRefT22_8x_0" localSheetId="57">'315'!$T$114:$T$115</definedName>
    <definedName name="OSRRefT22_8x_0" localSheetId="60">'316'!$T$57:$T$59</definedName>
    <definedName name="OSRRefT22_8x_0" localSheetId="62">'317'!$T$82:$T$84</definedName>
    <definedName name="OSRRefT22_8x_0" localSheetId="66">'321'!$T$49:$T$50</definedName>
    <definedName name="OSRRefT22_8x_0" localSheetId="68">'325'!$T$50</definedName>
    <definedName name="OSRRefT22_8x_0" localSheetId="58">'326'!$T$76</definedName>
    <definedName name="OSRRefT22_8x_0" localSheetId="51">'330'!$T$69:$T$70</definedName>
    <definedName name="OSRRefT22_8x_0" localSheetId="56">'331'!$T$113</definedName>
    <definedName name="OSRRefT22_8x_0" localSheetId="59">'332'!$T$59:$T$61</definedName>
    <definedName name="OSRRefT22_8x_0" localSheetId="73">'405'!$T$51</definedName>
    <definedName name="OSRRefT22_8x_0" localSheetId="75">'411'!$T$48</definedName>
    <definedName name="OSRRefT22_8x_0" localSheetId="79">'415'!$T$51</definedName>
    <definedName name="OSRRefT22_8x_0" localSheetId="80">'418'!$T$48:$T$49</definedName>
    <definedName name="OSRRefT22_8x_0" localSheetId="84">'425'!$T$42</definedName>
    <definedName name="OSRRefT22_8x_0" localSheetId="88">'433'!$T$53</definedName>
    <definedName name="OSRRefT22_8x_0" localSheetId="90">'444'!$T$53</definedName>
    <definedName name="OSRRefT22_8x_0" localSheetId="91">'450'!$T$53</definedName>
    <definedName name="OSRRefT22_8x_0" localSheetId="72">'491'!$T$55</definedName>
    <definedName name="OSRRefT22_8x_0" localSheetId="86">'492'!$T$54</definedName>
    <definedName name="OSRRefT22_8x_0" localSheetId="93">'501'!$T$52:$T$53</definedName>
    <definedName name="OSRRefT22_8x_0" localSheetId="39">'Div 2'!$T$50</definedName>
    <definedName name="OSRRefT22_8x_0" localSheetId="47">'Div 3'!$T$159</definedName>
    <definedName name="OSRRefT22_8x_0" localSheetId="70">'Div 4'!$T$58</definedName>
    <definedName name="OSRRefT22_8x_0" localSheetId="92">'Div 5'!$T$52:$T$53</definedName>
    <definedName name="OSRRefT22_8x_0" localSheetId="61">'Div 6'!$T$82:$T$84</definedName>
    <definedName name="OSRRefT22_8x_0" localSheetId="2">Summary!$T$185</definedName>
    <definedName name="OSRRefT22_9x_0" localSheetId="41">'201'!$T$48:$T$49</definedName>
    <definedName name="OSRRefT22_9x_0" localSheetId="42">'202'!$T$51</definedName>
    <definedName name="OSRRefT22_9x_0" localSheetId="43">'203'!$T$51</definedName>
    <definedName name="OSRRefT22_9x_0" localSheetId="48">'300'!$T$156</definedName>
    <definedName name="OSRRefT22_9x_0" localSheetId="49">'300 &amp; 317'!$T$178</definedName>
    <definedName name="OSRRefT22_9x_0" localSheetId="50">'301'!$T$55</definedName>
    <definedName name="OSRRefT22_9x_0" localSheetId="52">'307'!$T$67:$T$68</definedName>
    <definedName name="OSRRefT22_9x_0" localSheetId="53">'308'!$T$91:$T$93</definedName>
    <definedName name="OSRRefT22_9x_0" localSheetId="63">'310'!$T$59</definedName>
    <definedName name="OSRRefT22_9x_0" localSheetId="71">'310 &amp; 491'!$T$66</definedName>
    <definedName name="OSRRefT22_9x_0" localSheetId="54">'311'!$T$91:$T$93</definedName>
    <definedName name="OSRRefT22_9x_0" localSheetId="57">'315'!$T$117:$T$118</definedName>
    <definedName name="OSRRefT22_9x_0" localSheetId="60">'316'!$T$61</definedName>
    <definedName name="OSRRefT22_9x_0" localSheetId="62">'317'!$T$86</definedName>
    <definedName name="OSRRefT22_9x_0" localSheetId="66">'321'!$T$52:$T$56</definedName>
    <definedName name="OSRRefT22_9x_0" localSheetId="68">'325'!$T$52:$T$53</definedName>
    <definedName name="OSRRefT22_9x_0" localSheetId="58">'326'!$T$78</definedName>
    <definedName name="OSRRefT22_9x_0" localSheetId="51">'330'!$T$72:$T$73</definedName>
    <definedName name="OSRRefT22_9x_0" localSheetId="56">'331'!$T$115:$T$116</definedName>
    <definedName name="OSRRefT22_9x_0" localSheetId="59">'332'!$T$63</definedName>
    <definedName name="OSRRefT22_9x_0" localSheetId="73">'405'!$T$53</definedName>
    <definedName name="OSRRefT22_9x_0" localSheetId="75">'411'!$T$50:$T$52</definedName>
    <definedName name="OSRRefT22_9x_0" localSheetId="79">'415'!$T$53</definedName>
    <definedName name="OSRRefT22_9x_0" localSheetId="80">'418'!$T$51</definedName>
    <definedName name="OSRRefT22_9x_0" localSheetId="88">'433'!$T$55</definedName>
    <definedName name="OSRRefT22_9x_0" localSheetId="90">'444'!$T$55</definedName>
    <definedName name="OSRRefT22_9x_0" localSheetId="91">'450'!$T$55</definedName>
    <definedName name="OSRRefT22_9x_0" localSheetId="72">'491'!$T$57</definedName>
    <definedName name="OSRRefT22_9x_0" localSheetId="86">'492'!$T$56</definedName>
    <definedName name="OSRRefT22_9x_0" localSheetId="93">'501'!$T$55</definedName>
    <definedName name="OSRRefT22_9x_0" localSheetId="39">'Div 2'!$T$52:$T$53</definedName>
    <definedName name="OSRRefT22_9x_0" localSheetId="47">'Div 3'!$T$161</definedName>
    <definedName name="OSRRefT22_9x_0" localSheetId="70">'Div 4'!$T$60</definedName>
    <definedName name="OSRRefT22_9x_0" localSheetId="92">'Div 5'!$T$55</definedName>
    <definedName name="OSRRefT22_9x_0" localSheetId="61">'Div 6'!$T$86</definedName>
    <definedName name="OSRRefT22_9x_0" localSheetId="2">Summary!$T$187</definedName>
    <definedName name="OSRRefT22x_0" localSheetId="40">'200'!$T$20,'200'!$T$22,'200'!$T$24,'200'!$T$26</definedName>
    <definedName name="OSRRefT22x_0" localSheetId="41">'201'!$T$20:$T$27,'201'!$T$29:$T$31,'201'!$T$33,'201'!$T$35,'201'!$T$37,'201'!$T$39,'201'!$T$41,'201'!$T$43,'201'!$T$45:$T$46,'201'!$T$48:$T$49,'201'!$T$51,'201'!$T$53:$T$54,'201'!$T$56</definedName>
    <definedName name="OSRRefT22x_0" localSheetId="42">'202'!$T$20:$T$27,'202'!$T$29:$T$31,'202'!$T$33,'202'!$T$35,'202'!$T$37:$T$38,'202'!$T$40,'202'!$T$42:$T$44,'202'!$T$46,'202'!$T$48:$T$49,'202'!$T$51,'202'!$T$53,'202'!$T$55</definedName>
    <definedName name="OSRRefT22x_0" localSheetId="43">'203'!$T$20:$T$28,'203'!$T$30:$T$33,'203'!$T$35,'203'!$T$37,'203'!$T$39,'203'!$T$41,'203'!$T$43,'203'!$T$45:$T$46,'203'!$T$48:$T$49,'203'!$T$51,'203'!$T$53:$T$56,'203'!$T$58,'203'!$T$60</definedName>
    <definedName name="OSRRefT22x_0" localSheetId="44">'204'!$T$20:$T$28,'204'!$T$30:$T$32,'204'!$T$34,'204'!$T$36,'204'!$T$38:$T$41,'204'!$T$43,'204'!$T$45:$T$46</definedName>
    <definedName name="OSRRefT22x_0" localSheetId="45">'205'!$T$20:$T$27,'205'!$T$29,'205'!$T$31,'205'!$T$33,'205'!$T$35:$T$36,'205'!$T$38:$T$39,'205'!$T$41</definedName>
    <definedName name="OSRRefT22x_0" localSheetId="46">'206'!$T$20:$T$26,'206'!$T$28:$T$30,'206'!$T$32,'206'!$T$34,'206'!$T$36,'206'!$T$38,'206'!$T$40</definedName>
    <definedName name="OSRRefT22x_0" localSheetId="48">'300'!$T$121:$T$130,'300'!$T$132:$T$138,'300'!$T$140,'300'!$T$142,'300'!$T$144,'300'!$T$146:$T$147,'300'!$T$149:$T$150,'300'!$T$152,'300'!$T$154,'300'!$T$156,'300'!$T$158:$T$159,'300'!$T$161,'300'!$T$163,'300'!$T$165:$T$166,'300'!$T$168,'300'!$T$170,'300'!$T$172:$T$175,'300'!$T$177:$T$179,'300'!$T$181:$T$184,'300'!$T$186:$T$187,'300'!$T$189:$T$195,'300'!$T$197:$T$198,'300'!$T$200,'300'!$T$202:$T$204,'300'!$T$206</definedName>
    <definedName name="OSRRefT22x_0" localSheetId="49">'300 &amp; 317'!$T$143:$T$152,'300 &amp; 317'!$T$154:$T$160,'300 &amp; 317'!$T$162,'300 &amp; 317'!$T$164,'300 &amp; 317'!$T$166,'300 &amp; 317'!$T$168:$T$169,'300 &amp; 317'!$T$171:$T$172,'300 &amp; 317'!$T$174,'300 &amp; 317'!$T$176,'300 &amp; 317'!$T$178,'300 &amp; 317'!$T$180:$T$181,'300 &amp; 317'!$T$183,'300 &amp; 317'!$T$185,'300 &amp; 317'!$T$187:$T$188,'300 &amp; 317'!$T$190,'300 &amp; 317'!$T$192,'300 &amp; 317'!$T$194:$T$197,'300 &amp; 317'!$T$199:$T$201,'300 &amp; 317'!$T$203:$T$206,'300 &amp; 317'!$T$208:$T$209,'300 &amp; 317'!$T$211:$T$217,'300 &amp; 317'!$T$219:$T$220,'300 &amp; 317'!$T$222,'300 &amp; 317'!$T$224:$T$226,'300 &amp; 317'!$T$228</definedName>
    <definedName name="OSRRefT22x_0" localSheetId="50">'301'!$T$21:$T$30,'301'!$T$32:$T$38,'301'!$T$40,'301'!$T$42,'301'!$T$44,'301'!$T$46:$T$47,'301'!$T$49,'301'!$T$51,'301'!$T$53,'301'!$T$55,'301'!$T$57,'301'!$T$59,'301'!$T$61,'301'!$T$63,'301'!$T$65,'301'!$T$67:$T$70,'301'!$T$72:$T$74,'301'!$T$76,'301'!$T$78:$T$83,'301'!$T$85,'301'!$T$87,'301'!$T$89:$T$90,'301'!$T$92</definedName>
    <definedName name="OSRRefT22x_0" localSheetId="52">'307'!$T$43:$T$45,'307'!$T$47:$T$49,'307'!$T$51,'307'!$T$53,'307'!$T$55:$T$56,'307'!$T$58,'307'!$T$60,'307'!$T$62,'307'!$T$64:$T$65,'307'!$T$67:$T$68,'307'!$T$70:$T$73,'307'!$T$75,'307'!$T$77</definedName>
    <definedName name="OSRRefT22x_0" localSheetId="53">'308'!$T$59:$T$67,'308'!$T$69:$T$75,'308'!$T$77,'308'!$T$79,'308'!$T$81,'308'!$T$83,'308'!$T$85,'308'!$T$87,'308'!$T$89,'308'!$T$91:$T$93,'308'!$T$95,'308'!$T$97:$T$98,'308'!$T$100:$T$101,'308'!$T$103</definedName>
    <definedName name="OSRRefT22x_0" localSheetId="64">'309'!$T$20,'309'!$T$22:$T$23,'309'!$T$25:$T$26,'309'!$T$28</definedName>
    <definedName name="OSRRefT22x_0" localSheetId="63">'310'!$T$31:$T$38,'310'!$T$40:$T$42,'310'!$T$44,'310'!$T$46,'310'!$T$48,'310'!$T$50:$T$51,'310'!$T$53,'310'!$T$55,'310'!$T$57,'310'!$T$59,'310'!$T$61:$T$62,'310'!$T$64,'310'!$T$66:$T$68,'310'!$T$70:$T$74,'310'!$T$76,'310'!$T$78</definedName>
    <definedName name="OSRRefT22x_0" localSheetId="71">'310 &amp; 491'!$T$35:$T$42,'310 &amp; 491'!$T$44:$T$48,'310 &amp; 491'!$T$50,'310 &amp; 491'!$T$52,'310 &amp; 491'!$T$54,'310 &amp; 491'!$T$56:$T$57,'310 &amp; 491'!$T$59,'310 &amp; 491'!$T$61,'310 &amp; 491'!$T$63:$T$64,'310 &amp; 491'!$T$66,'310 &amp; 491'!$T$68,'310 &amp; 491'!$T$70,'310 &amp; 491'!$T$72,'310 &amp; 491'!$T$74:$T$76,'310 &amp; 491'!$T$78,'310 &amp; 491'!$T$80:$T$83,'310 &amp; 491'!$T$85,'310 &amp; 491'!$T$87:$T$94,'310 &amp; 491'!$T$96,'310 &amp; 491'!$T$98,'310 &amp; 491'!$T$100</definedName>
    <definedName name="OSRRefT22x_0" localSheetId="54">'311'!$T$59:$T$67,'311'!$T$69:$T$75,'311'!$T$77,'311'!$T$79,'311'!$T$81,'311'!$T$83,'311'!$T$85,'311'!$T$87,'311'!$T$89,'311'!$T$91:$T$93,'311'!$T$95,'311'!$T$97:$T$98,'311'!$T$100:$T$101,'311'!$T$103</definedName>
    <definedName name="OSRRefT22x_0" localSheetId="65">'313'!$T$25:$T$32,'313'!$T$34,'313'!$T$36,'313'!$T$38,'313'!$T$40,'313'!$T$42,'313'!$T$44</definedName>
    <definedName name="OSRRefT22x_0" localSheetId="57">'315'!$T$84:$T$91,'315'!$T$93:$T$97,'315'!$T$99,'315'!$T$101:$T$102,'315'!$T$104,'315'!$T$106:$T$107,'315'!$T$109:$T$110,'315'!$T$112,'315'!$T$114:$T$115,'315'!$T$117:$T$118,'315'!$T$120,'315'!$T$122:$T$124,'315'!$T$126,'315'!$T$128</definedName>
    <definedName name="OSRRefT22x_0" localSheetId="60">'316'!$T$31:$T$38,'316'!$T$40:$T$42,'316'!$T$44,'316'!$T$46,'316'!$T$48,'316'!$T$50,'316'!$T$52:$T$53,'316'!$T$55,'316'!$T$57:$T$59,'316'!$T$61,'316'!$T$63:$T$67,'316'!$T$69,'316'!$T$71</definedName>
    <definedName name="OSRRefT22x_0" localSheetId="62">'317'!$T$53:$T$61,'317'!$T$63:$T$67,'317'!$T$69,'317'!$T$71,'317'!$T$73,'317'!$T$75:$T$76,'317'!$T$78,'317'!$T$80,'317'!$T$82:$T$84,'317'!$T$86,'317'!$T$88</definedName>
    <definedName name="OSRRefT22x_0" localSheetId="66">'321'!$T$23:$T$30,'321'!$T$32:$T$34,'321'!$T$36,'321'!$T$38,'321'!$T$40,'321'!$T$42,'321'!$T$44:$T$45,'321'!$T$47,'321'!$T$49:$T$50,'321'!$T$52:$T$56,'321'!$T$58,'321'!$T$60</definedName>
    <definedName name="OSRRefT22x_0" localSheetId="67">'322'!$T$21:$T$25,'322'!$T$27,'322'!$T$29,'322'!$T$31,'322'!$T$33:$T$34,'322'!$T$36,'322'!$T$38,'322'!$T$40</definedName>
    <definedName name="OSRRefT22x_0" localSheetId="68">'325'!$T$24:$T$31,'325'!$T$33:$T$35,'325'!$T$37,'325'!$T$39,'325'!$T$41,'325'!$T$43:$T$44,'325'!$T$46,'325'!$T$48,'325'!$T$50,'325'!$T$52:$T$53,'325'!$T$55:$T$57,'325'!$T$59:$T$62,'325'!$T$64,'325'!$T$66</definedName>
    <definedName name="OSRRefT22x_0" localSheetId="58">'326'!$T$49:$T$56,'326'!$T$58:$T$62,'326'!$T$64,'326'!$T$66,'326'!$T$68,'326'!$T$70,'326'!$T$72,'326'!$T$74,'326'!$T$76,'326'!$T$78,'326'!$T$80:$T$82,'326'!$T$84:$T$85,'326'!$T$87,'326'!$T$89:$T$92,'326'!$T$94,'326'!$T$96,'326'!$T$98</definedName>
    <definedName name="OSRRefT22x_0" localSheetId="69">'327'!$T$24</definedName>
    <definedName name="OSRRefT22x_0" localSheetId="51">'330'!$T$46:$T$49,'330'!$T$51:$T$53,'330'!$T$55,'330'!$T$57,'330'!$T$59:$T$60,'330'!$T$62:$T$63,'330'!$T$65,'330'!$T$67,'330'!$T$69:$T$70,'330'!$T$72:$T$73,'330'!$T$75:$T$78,'330'!$T$80,'330'!$T$82</definedName>
    <definedName name="OSRRefT22x_0" localSheetId="56">'331'!$T$84:$T$91,'331'!$T$93:$T$97,'331'!$T$99,'331'!$T$101,'331'!$T$103,'331'!$T$105:$T$106,'331'!$T$108,'331'!$T$110:$T$111,'331'!$T$113,'331'!$T$115:$T$116,'331'!$T$118,'331'!$T$120,'331'!$T$122:$T$124,'331'!$T$126:$T$127,'331'!$T$129:$T$130,'331'!$T$132,'331'!$T$134:$T$137,'331'!$T$139,'331'!$T$141,'331'!$T$143</definedName>
    <definedName name="OSRRefT22x_0" localSheetId="59">'332'!$T$33:$T$40,'332'!$T$42:$T$44,'332'!$T$46,'332'!$T$48,'332'!$T$50,'332'!$T$52,'332'!$T$54:$T$55,'332'!$T$57,'332'!$T$59:$T$61,'332'!$T$63,'332'!$T$65:$T$69,'332'!$T$71,'332'!$T$73</definedName>
    <definedName name="OSRRefT22x_0" localSheetId="73">'405'!$T$24:$T$31,'405'!$T$33:$T$36,'405'!$T$38,'405'!$T$40,'405'!$T$42,'405'!$T$44:$T$45,'405'!$T$47,'405'!$T$49,'405'!$T$51,'405'!$T$53,'405'!$T$55:$T$56,'405'!$T$58:$T$61,'405'!$T$63,'405'!$T$65:$T$71,'405'!$T$73,'405'!$T$75</definedName>
    <definedName name="OSRRefT22x_0" localSheetId="74">'406'!$T$20,'406'!$T$22,'406'!$T$24,'406'!$T$26,'406'!$T$28</definedName>
    <definedName name="OSRRefT22x_0" localSheetId="75">'411'!$T$20:$T$27,'411'!$T$29:$T$33,'411'!$T$35,'411'!$T$37:$T$38,'411'!$T$40,'411'!$T$42,'411'!$T$44,'411'!$T$46,'411'!$T$48,'411'!$T$50:$T$52,'411'!$T$54:$T$56,'411'!$T$58:$T$59,'411'!$T$61,'411'!$T$63,'411'!$T$65</definedName>
    <definedName name="OSRRefT22x_0" localSheetId="76">'412'!$T$20,'412'!$T$22,'412'!$T$24,'412'!$T$26,'412'!$T$28</definedName>
    <definedName name="OSRRefT22x_0" localSheetId="77">'413'!$T$20:$T$24,'413'!$T$26,'413'!$T$28,'413'!$T$30,'413'!$T$32,'413'!$T$34</definedName>
    <definedName name="OSRRefT22x_0" localSheetId="78">'414'!$T$21,'414'!$T$23,'414'!$T$25,'414'!$T$27,'414'!$T$29:$T$30</definedName>
    <definedName name="OSRRefT22x_0" localSheetId="79">'415'!$T$24:$T$31,'415'!$T$33:$T$36,'415'!$T$38,'415'!$T$40,'415'!$T$42,'415'!$T$44:$T$45,'415'!$T$47,'415'!$T$49,'415'!$T$51,'415'!$T$53,'415'!$T$55:$T$56,'415'!$T$58:$T$61,'415'!$T$63,'415'!$T$65:$T$70,'415'!$T$72,'415'!$T$74</definedName>
    <definedName name="OSRRefT22x_0" localSheetId="80">'418'!$T$21:$T$28,'418'!$T$30:$T$33,'418'!$T$35,'418'!$T$37,'418'!$T$39:$T$40,'418'!$T$42,'418'!$T$44,'418'!$T$46,'418'!$T$48:$T$49,'418'!$T$51,'418'!$T$53,'418'!$T$55:$T$59,'418'!$T$61</definedName>
    <definedName name="OSRRefT22x_0" localSheetId="82">'423'!$T$20:$T$21,'423'!$T$23,'423'!$T$25,'423'!$T$27</definedName>
    <definedName name="OSRRefT22x_0" localSheetId="83">'424'!$T$20,'424'!$T$22,'424'!$T$24,'424'!$T$26</definedName>
    <definedName name="OSRRefT22x_0" localSheetId="84">'425'!$T$22:$T$26,'425'!$T$28,'425'!$T$30,'425'!$T$32,'425'!$T$34,'425'!$T$36,'425'!$T$38,'425'!$T$40,'425'!$T$42</definedName>
    <definedName name="OSRRefT22x_0" localSheetId="87">'430'!$T$20:$T$27,'430'!$T$29,'430'!$T$31,'430'!$T$33,'430'!$T$35,'430'!$T$37:$T$38,'430'!$T$40,'430'!$T$42</definedName>
    <definedName name="OSRRefT22x_0" localSheetId="88">'433'!$T$25:$T$33,'433'!$T$35:$T$39,'433'!$T$41,'433'!$T$43,'433'!$T$45,'433'!$T$47,'433'!$T$49,'433'!$T$51,'433'!$T$53,'433'!$T$55,'433'!$T$57:$T$58,'433'!$T$60:$T$62,'433'!$T$64:$T$71,'433'!$T$73</definedName>
    <definedName name="OSRRefT22x_0" localSheetId="89">'435'!$T$20</definedName>
    <definedName name="OSRRefT22x_0" localSheetId="90">'444'!$T$25:$T$33,'444'!$T$35:$T$39,'444'!$T$41,'444'!$T$43,'444'!$T$45,'444'!$T$47,'444'!$T$49,'444'!$T$51,'444'!$T$53,'444'!$T$55,'444'!$T$57:$T$58,'444'!$T$60:$T$62,'444'!$T$64:$T$70,'444'!$T$72,'444'!$T$74</definedName>
    <definedName name="OSRRefT22x_0" localSheetId="91">'450'!$T$25:$T$33,'450'!$T$35:$T$39,'450'!$T$41,'450'!$T$43,'450'!$T$45,'450'!$T$47,'450'!$T$49,'450'!$T$51,'450'!$T$53,'450'!$T$55,'450'!$T$57,'450'!$T$59,'450'!$T$61:$T$62,'450'!$T$64:$T$66,'450'!$T$68:$T$73,'450'!$T$75,'450'!$T$77</definedName>
    <definedName name="OSRRefT22x_0" localSheetId="72">'491'!$T$27:$T$34,'491'!$T$36:$T$40,'491'!$T$42,'491'!$T$44,'491'!$T$46,'491'!$T$48:$T$49,'491'!$T$51,'491'!$T$53,'491'!$T$55,'491'!$T$57,'491'!$T$59,'491'!$T$61,'491'!$T$63,'491'!$T$65:$T$67,'491'!$T$69,'491'!$T$71:$T$74,'491'!$T$76,'491'!$T$78:$T$85,'491'!$T$87,'491'!$T$89,'491'!$T$91</definedName>
    <definedName name="OSRRefT22x_0" localSheetId="86">'492'!$T$25:$T$33,'492'!$T$35:$T$40,'492'!$T$42,'492'!$T$44,'492'!$T$46,'492'!$T$48,'492'!$T$50,'492'!$T$52,'492'!$T$54,'492'!$T$56,'492'!$T$58,'492'!$T$60,'492'!$T$62:$T$64,'492'!$T$66:$T$68,'492'!$T$70:$T$77,'492'!$T$79,'492'!$T$81,'492'!$T$83:$T$84</definedName>
    <definedName name="OSRRefT22x_0" localSheetId="93">'501'!$T$21:$T$29,'501'!$T$31:$T$36,'501'!$T$38,'501'!$T$40,'501'!$T$42:$T$43,'501'!$T$45,'501'!$T$47,'501'!$T$49:$T$50,'501'!$T$52:$T$53,'501'!$T$55,'501'!$T$57</definedName>
    <definedName name="OSRRefT22x_0" localSheetId="39">'Div 2'!$T$20:$T$29,'Div 2'!$T$31:$T$36,'Div 2'!$T$38,'Div 2'!$T$40,'Div 2'!$T$42,'Div 2'!$T$44,'Div 2'!$T$46,'Div 2'!$T$48,'Div 2'!$T$50,'Div 2'!$T$52:$T$53,'Div 2'!$T$55,'Div 2'!$T$57,'Div 2'!$T$59:$T$61,'Div 2'!$T$63:$T$66,'Div 2'!$T$68,'Div 2'!$T$70,'Div 2'!$T$72:$T$76,'Div 2'!$T$78:$T$79,'Div 2'!$T$81,'Div 2'!$T$83</definedName>
    <definedName name="OSRRefT22x_0" localSheetId="47">'Div 3'!$T$126:$T$135,'Div 3'!$T$137:$T$143,'Div 3'!$T$145,'Div 3'!$T$147,'Div 3'!$T$149,'Div 3'!$T$151:$T$152,'Div 3'!$T$154:$T$155,'Div 3'!$T$157,'Div 3'!$T$159,'Div 3'!$T$161,'Div 3'!$T$163:$T$164,'Div 3'!$T$166,'Div 3'!$T$168,'Div 3'!$T$170,'Div 3'!$T$172:$T$173,'Div 3'!$T$175,'Div 3'!$T$177,'Div 3'!$T$179:$T$182,'Div 3'!$T$184:$T$186,'Div 3'!$T$188:$T$192,'Div 3'!$T$194:$T$195,'Div 3'!$T$197:$T$203,'Div 3'!$T$205:$T$206,'Div 3'!$T$208,'Div 3'!$T$210:$T$212,'Div 3'!$T$214</definedName>
    <definedName name="OSRRefT22x_0" localSheetId="70">'Div 4'!$T$28:$T$36,'Div 4'!$T$38:$T$43,'Div 4'!$T$45,'Div 4'!$T$47,'Div 4'!$T$49,'Div 4'!$T$51:$T$52,'Div 4'!$T$54,'Div 4'!$T$56,'Div 4'!$T$58,'Div 4'!$T$60,'Div 4'!$T$62,'Div 4'!$T$64,'Div 4'!$T$66,'Div 4'!$T$68,'Div 4'!$T$70,'Div 4'!$T$72:$T$74,'Div 4'!$T$76,'Div 4'!$T$78:$T$81,'Div 4'!$T$83,'Div 4'!$T$85:$T$93,'Div 4'!$T$95,'Div 4'!$T$97,'Div 4'!$T$99:$T$100,'Div 4'!$T$102</definedName>
    <definedName name="OSRRefT22x_0" localSheetId="92">'Div 5'!$T$21:$T$29,'Div 5'!$T$31:$T$36,'Div 5'!$T$38,'Div 5'!$T$40,'Div 5'!$T$42:$T$43,'Div 5'!$T$45,'Div 5'!$T$47,'Div 5'!$T$49:$T$50,'Div 5'!$T$52:$T$53,'Div 5'!$T$55,'Div 5'!$T$57</definedName>
    <definedName name="OSRRefT22x_0" localSheetId="61">'Div 6'!$T$53:$T$61,'Div 6'!$T$63:$T$67,'Div 6'!$T$69,'Div 6'!$T$71,'Div 6'!$T$73,'Div 6'!$T$75:$T$76,'Div 6'!$T$78,'Div 6'!$T$80,'Div 6'!$T$82:$T$84,'Div 6'!$T$86,'Div 6'!$T$88</definedName>
    <definedName name="OSRRefT22x_0" localSheetId="2">Summary!$T$152:$T$161,Summary!$T$163:$T$169,Summary!$T$171,Summary!$T$173,Summary!$T$175,Summary!$T$177:$T$178,Summary!$T$180:$T$181,Summary!$T$183,Summary!$T$185,Summary!$T$187,Summary!$T$189:$T$190,Summary!$T$192,Summary!$T$194,Summary!$T$196,Summary!$T$198:$T$199,Summary!$T$201,Summary!$T$203,Summary!$T$205,Summary!$T$207:$T$210,Summary!$T$212:$T$214,Summary!$T$216:$T$220,Summary!$T$222:$T$223,Summary!$T$225:$T$233,Summary!$T$235:$T$236,Summary!$T$238,Summary!$T$240:$T$242,Summary!$T$244</definedName>
    <definedName name="OSRRefT25x_0" localSheetId="48">'300'!$T$209:$T$212</definedName>
    <definedName name="OSRRefT25x_0" localSheetId="49">'300 &amp; 317'!$T$231:$T$236</definedName>
    <definedName name="OSRRefT25x_0" localSheetId="50">'301'!$T$95</definedName>
    <definedName name="OSRRefT25x_0" localSheetId="53">'308'!$T$106:$T$108</definedName>
    <definedName name="OSRRefT25x_0" localSheetId="71">'310 &amp; 491'!$T$103:$T$105</definedName>
    <definedName name="OSRRefT25x_0" localSheetId="54">'311'!$T$106:$T$108</definedName>
    <definedName name="OSRRefT25x_0" localSheetId="57">'315'!$T$131:$T$132</definedName>
    <definedName name="OSRRefT25x_0" localSheetId="60">'316'!$T$74</definedName>
    <definedName name="OSRRefT25x_0" localSheetId="62">'317'!$T$91:$T$93</definedName>
    <definedName name="OSRRefT25x_0" localSheetId="56">'331'!$T$146:$T$147</definedName>
    <definedName name="OSRRefT25x_0" localSheetId="59">'332'!$T$76:$T$77</definedName>
    <definedName name="OSRRefT25x_0" localSheetId="75">'411'!$T$68:$T$69</definedName>
    <definedName name="OSRRefT25x_0" localSheetId="79">'415'!$T$77</definedName>
    <definedName name="OSRRefT25x_0" localSheetId="80">'418'!$T$64</definedName>
    <definedName name="OSRRefT25x_0" localSheetId="82">'423'!$T$30</definedName>
    <definedName name="OSRRefT25x_0" localSheetId="85">'455'!$T$21:$T$22</definedName>
    <definedName name="OSRRefT25x_0" localSheetId="72">'491'!$T$94:$T$96</definedName>
    <definedName name="OSRRefT25x_0" localSheetId="93">'501'!$T$60</definedName>
    <definedName name="OSRRefT25x_0" localSheetId="47">'Div 3'!$T$217:$T$220</definedName>
    <definedName name="OSRRefT25x_0" localSheetId="70">'Div 4'!$T$105:$T$107</definedName>
    <definedName name="OSRRefT25x_0" localSheetId="92">'Div 5'!$T$60</definedName>
    <definedName name="OSRRefT25x_0" localSheetId="61">'Div 6'!$T$91:$T$93</definedName>
    <definedName name="OSRRefT25x_0" localSheetId="2">Summary!$T$247:$T$254</definedName>
    <definedName name="_xlnm.Print_Area" localSheetId="38">'100'!$A$1:$Z$34</definedName>
    <definedName name="_xlnm.Print_Area" localSheetId="40">'200'!$A$1:$Z$40</definedName>
    <definedName name="_xlnm.Print_Area" localSheetId="41">'201'!$A$1:$Z$70</definedName>
    <definedName name="_xlnm.Print_Area" localSheetId="42">'202'!$A$1:$Z$69</definedName>
    <definedName name="_xlnm.Print_Area" localSheetId="43">'203'!$A$1:$Z$74</definedName>
    <definedName name="_xlnm.Print_Area" localSheetId="44">'204'!$A$1:$Z$60</definedName>
    <definedName name="_xlnm.Print_Area" localSheetId="45">'205'!$A$1:$Z$55</definedName>
    <definedName name="_xlnm.Print_Area" localSheetId="46">'206'!$A$1:$Z$54</definedName>
    <definedName name="_xlnm.Print_Area" localSheetId="48">'300'!$A$1:$Z$224</definedName>
    <definedName name="_xlnm.Print_Area" localSheetId="49">'300 &amp; 317'!$A$1:$Z$248</definedName>
    <definedName name="_xlnm.Print_Area" localSheetId="50">'301'!$A$1:$Z$107</definedName>
    <definedName name="_xlnm.Print_Area" localSheetId="52">'307'!$A$1:$Z$91</definedName>
    <definedName name="_xlnm.Print_Area" localSheetId="53">'308'!$A$1:$Z$120</definedName>
    <definedName name="_xlnm.Print_Area" localSheetId="64">'309'!$A$1:$Z$42</definedName>
    <definedName name="_xlnm.Print_Area" localSheetId="63">'310'!$A$1:$Z$92</definedName>
    <definedName name="_xlnm.Print_Area" localSheetId="71">'310 &amp; 491'!$A$1:$Z$117</definedName>
    <definedName name="_xlnm.Print_Area" localSheetId="54">'311'!$A$1:$Z$120</definedName>
    <definedName name="_xlnm.Print_Area" localSheetId="65">'313'!$A$1:$Z$58</definedName>
    <definedName name="_xlnm.Print_Area" localSheetId="57">'315'!$A$1:$Z$144</definedName>
    <definedName name="_xlnm.Print_Area" localSheetId="60">'316'!$A$1:$Z$86</definedName>
    <definedName name="_xlnm.Print_Area" localSheetId="62">'317'!$A$1:$Z$105</definedName>
    <definedName name="_xlnm.Print_Area" localSheetId="66">'321'!$A$1:$Z$74</definedName>
    <definedName name="_xlnm.Print_Area" localSheetId="67">'322'!$A$1:$Z$54</definedName>
    <definedName name="_xlnm.Print_Area" localSheetId="55">'324'!$A$1:$Z$39</definedName>
    <definedName name="_xlnm.Print_Area" localSheetId="68">'325'!$A$1:$Z$80</definedName>
    <definedName name="_xlnm.Print_Area" localSheetId="58">'326'!$A$1:$Z$112</definedName>
    <definedName name="_xlnm.Print_Area" localSheetId="69">'327'!$A$1:$Z$38</definedName>
    <definedName name="_xlnm.Print_Area" localSheetId="51">'330'!$A$1:$Z$96</definedName>
    <definedName name="_xlnm.Print_Area" localSheetId="56">'331'!$A$1:$Z$159</definedName>
    <definedName name="_xlnm.Print_Area" localSheetId="59">'332'!$A$1:$Z$89</definedName>
    <definedName name="_xlnm.Print_Area" localSheetId="73">'405'!$A$1:$Z$89</definedName>
    <definedName name="_xlnm.Print_Area" localSheetId="74">'406'!$A$1:$Z$42</definedName>
    <definedName name="_xlnm.Print_Area" localSheetId="75">'411'!$A$1:$Z$81</definedName>
    <definedName name="_xlnm.Print_Area" localSheetId="76">'412'!$A$1:$Z$42</definedName>
    <definedName name="_xlnm.Print_Area" localSheetId="77">'413'!$A$1:$Z$48</definedName>
    <definedName name="_xlnm.Print_Area" localSheetId="78">'414'!$A$1:$Z$44</definedName>
    <definedName name="_xlnm.Print_Area" localSheetId="79">'415'!$A$1:$Z$89</definedName>
    <definedName name="_xlnm.Print_Area" localSheetId="80">'418'!$A$1:$Z$76</definedName>
    <definedName name="_xlnm.Print_Area" localSheetId="81">'420'!$A$1:$Z$33</definedName>
    <definedName name="_xlnm.Print_Area" localSheetId="82">'423'!$A$1:$Z$42</definedName>
    <definedName name="_xlnm.Print_Area" localSheetId="83">'424'!$A$1:$Z$40</definedName>
    <definedName name="_xlnm.Print_Area" localSheetId="84">'425'!$A$1:$Z$56</definedName>
    <definedName name="_xlnm.Print_Area" localSheetId="87">'430'!$A$1:$Z$56</definedName>
    <definedName name="_xlnm.Print_Area" localSheetId="88">'433'!$A$1:$Z$87</definedName>
    <definedName name="_xlnm.Print_Area" localSheetId="89">'435'!$A$1:$Z$34</definedName>
    <definedName name="_xlnm.Print_Area" localSheetId="90">'444'!$A$1:$Z$88</definedName>
    <definedName name="_xlnm.Print_Area" localSheetId="91">'450'!$A$1:$Z$91</definedName>
    <definedName name="_xlnm.Print_Area" localSheetId="85">'455'!$A$1:$Z$34</definedName>
    <definedName name="_xlnm.Print_Area" localSheetId="72">'491'!$A$1:$Z$108</definedName>
    <definedName name="_xlnm.Print_Area" localSheetId="86">'492'!$A$1:$Z$98</definedName>
    <definedName name="_xlnm.Print_Area" localSheetId="93">'501'!$A$1:$Z$72</definedName>
    <definedName name="_xlnm.Print_Area" localSheetId="94">Dept!$A$1:$Z$39</definedName>
    <definedName name="_xlnm.Print_Area" localSheetId="5">'Div 1'!$A$1:$Z$34</definedName>
    <definedName name="_xlnm.Print_Area" localSheetId="39">'Div 2'!$A$1:$Z$97</definedName>
    <definedName name="_xlnm.Print_Area" localSheetId="47">'Div 3'!$A$1:$Z$232</definedName>
    <definedName name="_xlnm.Print_Area" localSheetId="70">'Div 4'!$A$1:$Z$119</definedName>
    <definedName name="_xlnm.Print_Area" localSheetId="92">'Div 5'!$A$1:$Z$72</definedName>
    <definedName name="_xlnm.Print_Area" localSheetId="61">'Div 6'!$A$1:$Z$105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Summary!$A$1:$Z$268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P24" i="100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Z15" i="100" s="1"/>
  <c r="P15" i="100"/>
  <c r="H15" i="100"/>
  <c r="N15" i="100" s="1"/>
  <c r="D15" i="100"/>
  <c r="T13" i="100"/>
  <c r="Z13" i="100" s="1"/>
  <c r="P13" i="100"/>
  <c r="H13" i="100"/>
  <c r="D13" i="100"/>
  <c r="B13" i="100"/>
  <c r="T12" i="100"/>
  <c r="V18" i="100" s="1"/>
  <c r="P12" i="100"/>
  <c r="H12" i="100"/>
  <c r="J15" i="100" s="1"/>
  <c r="D12" i="100"/>
  <c r="F34" i="100" s="1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P20" i="99"/>
  <c r="H20" i="99"/>
  <c r="N20" i="99" s="1"/>
  <c r="D20" i="99"/>
  <c r="T16" i="99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V34" i="99" s="1"/>
  <c r="P12" i="99"/>
  <c r="R36" i="99" s="1"/>
  <c r="H12" i="99"/>
  <c r="J22" i="99" s="1"/>
  <c r="D12" i="99"/>
  <c r="F21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24" i="98" s="1"/>
  <c r="P12" i="98"/>
  <c r="R21" i="98" s="1"/>
  <c r="H12" i="98"/>
  <c r="D12" i="98"/>
  <c r="D6" i="98"/>
  <c r="D5" i="98"/>
  <c r="D4" i="98"/>
  <c r="X64" i="97"/>
  <c r="Z64" i="97" s="1"/>
  <c r="N64" i="97"/>
  <c r="L64" i="97"/>
  <c r="Z60" i="97"/>
  <c r="X60" i="97"/>
  <c r="T60" i="97"/>
  <c r="P60" i="97"/>
  <c r="P59" i="97" s="1"/>
  <c r="H60" i="97"/>
  <c r="D60" i="97"/>
  <c r="L60" i="97" s="1"/>
  <c r="B60" i="97"/>
  <c r="T59" i="97"/>
  <c r="D59" i="97"/>
  <c r="Z57" i="97"/>
  <c r="X57" i="97"/>
  <c r="N57" i="97"/>
  <c r="L57" i="97"/>
  <c r="B57" i="97"/>
  <c r="X56" i="97"/>
  <c r="T56" i="97"/>
  <c r="Z56" i="97" s="1"/>
  <c r="P56" i="97"/>
  <c r="N56" i="97"/>
  <c r="L56" i="97"/>
  <c r="H56" i="97"/>
  <c r="D56" i="97"/>
  <c r="B56" i="97"/>
  <c r="Z55" i="97"/>
  <c r="X55" i="97"/>
  <c r="N55" i="97"/>
  <c r="L55" i="97"/>
  <c r="B55" i="97"/>
  <c r="Z54" i="97"/>
  <c r="X54" i="97"/>
  <c r="T54" i="97"/>
  <c r="P54" i="97"/>
  <c r="L54" i="97"/>
  <c r="H54" i="97"/>
  <c r="D54" i="97"/>
  <c r="B54" i="97"/>
  <c r="Z53" i="97"/>
  <c r="X53" i="97"/>
  <c r="N53" i="97"/>
  <c r="L53" i="97"/>
  <c r="B53" i="97"/>
  <c r="X52" i="97"/>
  <c r="Z52" i="97" s="1"/>
  <c r="L52" i="97"/>
  <c r="N52" i="97" s="1"/>
  <c r="B52" i="97"/>
  <c r="X51" i="97"/>
  <c r="Z51" i="97" s="1"/>
  <c r="T51" i="97"/>
  <c r="P51" i="97"/>
  <c r="H51" i="97"/>
  <c r="L51" i="97" s="1"/>
  <c r="D51" i="97"/>
  <c r="B51" i="97"/>
  <c r="X50" i="97"/>
  <c r="Z50" i="97" s="1"/>
  <c r="N50" i="97"/>
  <c r="L50" i="97"/>
  <c r="B50" i="97"/>
  <c r="Z49" i="97"/>
  <c r="X49" i="97"/>
  <c r="N49" i="97"/>
  <c r="L49" i="97"/>
  <c r="B49" i="97"/>
  <c r="X48" i="97"/>
  <c r="T48" i="97"/>
  <c r="P48" i="97"/>
  <c r="H48" i="97"/>
  <c r="D48" i="97"/>
  <c r="L48" i="97" s="1"/>
  <c r="B48" i="97"/>
  <c r="Z47" i="97"/>
  <c r="X47" i="97"/>
  <c r="N47" i="97"/>
  <c r="L47" i="97"/>
  <c r="B47" i="97"/>
  <c r="X46" i="97"/>
  <c r="T46" i="97"/>
  <c r="P46" i="97"/>
  <c r="H46" i="97"/>
  <c r="D46" i="97"/>
  <c r="L46" i="97" s="1"/>
  <c r="B46" i="97"/>
  <c r="Z45" i="97"/>
  <c r="X45" i="97"/>
  <c r="N45" i="97"/>
  <c r="L45" i="97"/>
  <c r="B45" i="97"/>
  <c r="X44" i="97"/>
  <c r="T44" i="97"/>
  <c r="P44" i="97"/>
  <c r="H44" i="97"/>
  <c r="D44" i="97"/>
  <c r="L44" i="97" s="1"/>
  <c r="N44" i="97" s="1"/>
  <c r="B44" i="97"/>
  <c r="Z43" i="97"/>
  <c r="X43" i="97"/>
  <c r="N43" i="97"/>
  <c r="L43" i="97"/>
  <c r="B43" i="97"/>
  <c r="Z42" i="97"/>
  <c r="X42" i="97"/>
  <c r="L42" i="97"/>
  <c r="N42" i="97" s="1"/>
  <c r="B42" i="97"/>
  <c r="T41" i="97"/>
  <c r="R41" i="97"/>
  <c r="P41" i="97"/>
  <c r="X41" i="97" s="1"/>
  <c r="Z41" i="97" s="1"/>
  <c r="L41" i="97"/>
  <c r="N41" i="97" s="1"/>
  <c r="H41" i="97"/>
  <c r="D41" i="97"/>
  <c r="B41" i="97"/>
  <c r="X40" i="97"/>
  <c r="Z40" i="97" s="1"/>
  <c r="L40" i="97"/>
  <c r="N40" i="97" s="1"/>
  <c r="B40" i="97"/>
  <c r="Z39" i="97"/>
  <c r="X39" i="97"/>
  <c r="T39" i="97"/>
  <c r="P39" i="97"/>
  <c r="H39" i="97"/>
  <c r="D39" i="97"/>
  <c r="B39" i="97"/>
  <c r="Z38" i="97"/>
  <c r="X38" i="97"/>
  <c r="N38" i="97"/>
  <c r="L38" i="97"/>
  <c r="B38" i="97"/>
  <c r="T37" i="97"/>
  <c r="X37" i="97" s="1"/>
  <c r="P37" i="97"/>
  <c r="N37" i="97"/>
  <c r="L37" i="97"/>
  <c r="H37" i="97"/>
  <c r="D37" i="97"/>
  <c r="B37" i="97"/>
  <c r="X36" i="97"/>
  <c r="Z36" i="97" s="1"/>
  <c r="R36" i="97"/>
  <c r="L36" i="97"/>
  <c r="N36" i="97" s="1"/>
  <c r="B36" i="97"/>
  <c r="X35" i="97"/>
  <c r="Z35" i="97" s="1"/>
  <c r="L35" i="97"/>
  <c r="N35" i="97" s="1"/>
  <c r="B35" i="97"/>
  <c r="X34" i="97"/>
  <c r="Z34" i="97" s="1"/>
  <c r="V34" i="97"/>
  <c r="L34" i="97"/>
  <c r="N34" i="97" s="1"/>
  <c r="B34" i="97"/>
  <c r="Z33" i="97"/>
  <c r="X33" i="97"/>
  <c r="R33" i="97"/>
  <c r="N33" i="97"/>
  <c r="L33" i="97"/>
  <c r="B33" i="97"/>
  <c r="X32" i="97"/>
  <c r="Z32" i="97" s="1"/>
  <c r="L32" i="97"/>
  <c r="N32" i="97" s="1"/>
  <c r="B32" i="97"/>
  <c r="X31" i="97"/>
  <c r="Z31" i="97" s="1"/>
  <c r="V31" i="97"/>
  <c r="N31" i="97"/>
  <c r="L31" i="97"/>
  <c r="B31" i="97"/>
  <c r="X30" i="97"/>
  <c r="T30" i="97"/>
  <c r="P30" i="97"/>
  <c r="H30" i="97"/>
  <c r="D30" i="97"/>
  <c r="B30" i="97"/>
  <c r="Z29" i="97"/>
  <c r="X29" i="97"/>
  <c r="N29" i="97"/>
  <c r="L29" i="97"/>
  <c r="B29" i="97"/>
  <c r="Z28" i="97"/>
  <c r="X28" i="97"/>
  <c r="N28" i="97"/>
  <c r="L28" i="97"/>
  <c r="B28" i="97"/>
  <c r="Z27" i="97"/>
  <c r="X27" i="97"/>
  <c r="N27" i="97"/>
  <c r="L27" i="97"/>
  <c r="B27" i="97"/>
  <c r="X26" i="97"/>
  <c r="Z26" i="97" s="1"/>
  <c r="V26" i="97"/>
  <c r="N26" i="97"/>
  <c r="L26" i="97"/>
  <c r="B26" i="97"/>
  <c r="X25" i="97"/>
  <c r="Z25" i="97" s="1"/>
  <c r="L25" i="97"/>
  <c r="N25" i="97" s="1"/>
  <c r="B25" i="97"/>
  <c r="Z24" i="97"/>
  <c r="X24" i="97"/>
  <c r="N24" i="97"/>
  <c r="L24" i="97"/>
  <c r="B24" i="97"/>
  <c r="Z23" i="97"/>
  <c r="X23" i="97"/>
  <c r="N23" i="97"/>
  <c r="L23" i="97"/>
  <c r="J23" i="97"/>
  <c r="B23" i="97"/>
  <c r="Z22" i="97"/>
  <c r="X22" i="97"/>
  <c r="L22" i="97"/>
  <c r="N22" i="97" s="1"/>
  <c r="J22" i="97"/>
  <c r="B22" i="97"/>
  <c r="X21" i="97"/>
  <c r="Z21" i="97" s="1"/>
  <c r="N21" i="97"/>
  <c r="L21" i="97"/>
  <c r="B21" i="97"/>
  <c r="T20" i="97"/>
  <c r="P20" i="97"/>
  <c r="X20" i="97" s="1"/>
  <c r="H20" i="97"/>
  <c r="N20" i="97" s="1"/>
  <c r="D20" i="97"/>
  <c r="L20" i="97" s="1"/>
  <c r="B20" i="97"/>
  <c r="T19" i="97"/>
  <c r="P19" i="97"/>
  <c r="X19" i="97" s="1"/>
  <c r="H19" i="97"/>
  <c r="D19" i="97"/>
  <c r="L19" i="97" s="1"/>
  <c r="N19" i="97" s="1"/>
  <c r="P17" i="97"/>
  <c r="P62" i="97" s="1"/>
  <c r="P66" i="97" s="1"/>
  <c r="D17" i="97"/>
  <c r="T15" i="97"/>
  <c r="Z15" i="97" s="1"/>
  <c r="P15" i="97"/>
  <c r="N15" i="97"/>
  <c r="H15" i="97"/>
  <c r="H17" i="97" s="1"/>
  <c r="D15" i="97"/>
  <c r="L15" i="97" s="1"/>
  <c r="X13" i="97"/>
  <c r="T13" i="97"/>
  <c r="P13" i="97"/>
  <c r="P12" i="97" s="1"/>
  <c r="R28" i="97" s="1"/>
  <c r="H13" i="97"/>
  <c r="D13" i="97"/>
  <c r="D12" i="97" s="1"/>
  <c r="B13" i="97"/>
  <c r="X12" i="97"/>
  <c r="Z12" i="97" s="1"/>
  <c r="T12" i="97"/>
  <c r="H12" i="97"/>
  <c r="D6" i="97"/>
  <c r="D4" i="97"/>
  <c r="V31" i="96"/>
  <c r="R31" i="96"/>
  <c r="F31" i="96"/>
  <c r="R28" i="96"/>
  <c r="F28" i="96"/>
  <c r="Z26" i="96"/>
  <c r="X26" i="96"/>
  <c r="V26" i="96"/>
  <c r="N26" i="96"/>
  <c r="L26" i="96"/>
  <c r="F26" i="96"/>
  <c r="R24" i="96"/>
  <c r="F24" i="96"/>
  <c r="T22" i="96"/>
  <c r="R22" i="96"/>
  <c r="P22" i="96"/>
  <c r="X22" i="96" s="1"/>
  <c r="N22" i="96"/>
  <c r="H22" i="96"/>
  <c r="F22" i="96"/>
  <c r="D22" i="96"/>
  <c r="L22" i="96" s="1"/>
  <c r="B22" i="96"/>
  <c r="T21" i="96"/>
  <c r="P21" i="96"/>
  <c r="H21" i="96"/>
  <c r="D21" i="96"/>
  <c r="D20" i="96" s="1"/>
  <c r="B21" i="96"/>
  <c r="V20" i="96"/>
  <c r="R20" i="96"/>
  <c r="H20" i="96"/>
  <c r="F20" i="96"/>
  <c r="Z18" i="96"/>
  <c r="V18" i="96"/>
  <c r="T18" i="96"/>
  <c r="R18" i="96"/>
  <c r="P18" i="96"/>
  <c r="X18" i="96" s="1"/>
  <c r="N18" i="96"/>
  <c r="H18" i="96"/>
  <c r="F18" i="96"/>
  <c r="D18" i="96"/>
  <c r="L18" i="96" s="1"/>
  <c r="R16" i="96"/>
  <c r="F16" i="96"/>
  <c r="Z14" i="96"/>
  <c r="T14" i="96"/>
  <c r="R14" i="96"/>
  <c r="P14" i="96"/>
  <c r="X14" i="96" s="1"/>
  <c r="N14" i="96"/>
  <c r="H14" i="96"/>
  <c r="F14" i="96"/>
  <c r="D14" i="96"/>
  <c r="L14" i="96" s="1"/>
  <c r="T12" i="96"/>
  <c r="V24" i="96" s="1"/>
  <c r="P12" i="96"/>
  <c r="R26" i="96" s="1"/>
  <c r="H12" i="96"/>
  <c r="D12" i="96"/>
  <c r="D16" i="96" s="1"/>
  <c r="D6" i="96"/>
  <c r="D4" i="96"/>
  <c r="Z83" i="95"/>
  <c r="X83" i="95"/>
  <c r="N83" i="95"/>
  <c r="L83" i="95"/>
  <c r="F83" i="95"/>
  <c r="Z79" i="95"/>
  <c r="T79" i="95"/>
  <c r="X79" i="95" s="1"/>
  <c r="P79" i="95"/>
  <c r="N79" i="95"/>
  <c r="H79" i="95"/>
  <c r="D79" i="95"/>
  <c r="L79" i="95" s="1"/>
  <c r="Z77" i="95"/>
  <c r="X77" i="95"/>
  <c r="N77" i="95"/>
  <c r="L77" i="95"/>
  <c r="B77" i="95"/>
  <c r="T76" i="95"/>
  <c r="Z76" i="95" s="1"/>
  <c r="P76" i="95"/>
  <c r="X76" i="95" s="1"/>
  <c r="H76" i="95"/>
  <c r="N76" i="95" s="1"/>
  <c r="D76" i="95"/>
  <c r="B76" i="95"/>
  <c r="X75" i="95"/>
  <c r="Z75" i="95" s="1"/>
  <c r="L75" i="95"/>
  <c r="N75" i="95" s="1"/>
  <c r="B75" i="95"/>
  <c r="T74" i="95"/>
  <c r="P74" i="95"/>
  <c r="H74" i="95"/>
  <c r="D74" i="95"/>
  <c r="L74" i="95" s="1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X70" i="95"/>
  <c r="Z70" i="95" s="1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X67" i="95"/>
  <c r="Z67" i="95" s="1"/>
  <c r="T67" i="95"/>
  <c r="P67" i="95"/>
  <c r="H67" i="95"/>
  <c r="N67" i="95" s="1"/>
  <c r="D67" i="95"/>
  <c r="B67" i="95"/>
  <c r="Z66" i="95"/>
  <c r="X66" i="95"/>
  <c r="R66" i="95"/>
  <c r="N66" i="95"/>
  <c r="L66" i="95"/>
  <c r="B66" i="95"/>
  <c r="Z65" i="95"/>
  <c r="X65" i="95"/>
  <c r="N65" i="95"/>
  <c r="L65" i="95"/>
  <c r="B65" i="95"/>
  <c r="X64" i="95"/>
  <c r="Z64" i="95" s="1"/>
  <c r="N64" i="95"/>
  <c r="L64" i="95"/>
  <c r="B64" i="95"/>
  <c r="Z63" i="95"/>
  <c r="X63" i="95"/>
  <c r="T63" i="95"/>
  <c r="P63" i="95"/>
  <c r="H63" i="95"/>
  <c r="D63" i="95"/>
  <c r="B63" i="95"/>
  <c r="Z62" i="95"/>
  <c r="X62" i="95"/>
  <c r="R62" i="95"/>
  <c r="N62" i="95"/>
  <c r="L62" i="95"/>
  <c r="B62" i="95"/>
  <c r="Z61" i="95"/>
  <c r="X61" i="95"/>
  <c r="R61" i="95"/>
  <c r="N61" i="95"/>
  <c r="L61" i="95"/>
  <c r="B61" i="95"/>
  <c r="X60" i="95"/>
  <c r="T60" i="95"/>
  <c r="Z60" i="95" s="1"/>
  <c r="P60" i="95"/>
  <c r="H60" i="95"/>
  <c r="F60" i="95"/>
  <c r="D60" i="95"/>
  <c r="B60" i="95"/>
  <c r="Z59" i="95"/>
  <c r="X59" i="95"/>
  <c r="N59" i="95"/>
  <c r="L59" i="95"/>
  <c r="B59" i="95"/>
  <c r="T58" i="95"/>
  <c r="R58" i="95"/>
  <c r="P58" i="95"/>
  <c r="H58" i="95"/>
  <c r="N58" i="95" s="1"/>
  <c r="D58" i="95"/>
  <c r="L58" i="95" s="1"/>
  <c r="B58" i="95"/>
  <c r="X57" i="95"/>
  <c r="Z57" i="95" s="1"/>
  <c r="N57" i="95"/>
  <c r="L57" i="95"/>
  <c r="B57" i="95"/>
  <c r="T56" i="95"/>
  <c r="P56" i="95"/>
  <c r="X56" i="95" s="1"/>
  <c r="H56" i="95"/>
  <c r="D56" i="95"/>
  <c r="L56" i="95" s="1"/>
  <c r="N56" i="95" s="1"/>
  <c r="B56" i="95"/>
  <c r="X55" i="95"/>
  <c r="Z55" i="95" s="1"/>
  <c r="N55" i="95"/>
  <c r="L55" i="95"/>
  <c r="B55" i="95"/>
  <c r="T54" i="95"/>
  <c r="P54" i="95"/>
  <c r="X54" i="95" s="1"/>
  <c r="Z54" i="95" s="1"/>
  <c r="L54" i="95"/>
  <c r="H54" i="95"/>
  <c r="N54" i="95" s="1"/>
  <c r="D54" i="95"/>
  <c r="B54" i="95"/>
  <c r="Z53" i="95"/>
  <c r="X53" i="95"/>
  <c r="N53" i="95"/>
  <c r="L53" i="95"/>
  <c r="B53" i="95"/>
  <c r="X52" i="95"/>
  <c r="T52" i="95"/>
  <c r="Z52" i="95" s="1"/>
  <c r="P52" i="95"/>
  <c r="H52" i="95"/>
  <c r="D52" i="95"/>
  <c r="B52" i="95"/>
  <c r="Z51" i="95"/>
  <c r="X51" i="95"/>
  <c r="N51" i="95"/>
  <c r="L51" i="95"/>
  <c r="B51" i="95"/>
  <c r="T50" i="95"/>
  <c r="P50" i="95"/>
  <c r="H50" i="95"/>
  <c r="N50" i="95" s="1"/>
  <c r="D50" i="95"/>
  <c r="L50" i="95" s="1"/>
  <c r="B50" i="95"/>
  <c r="Z49" i="95"/>
  <c r="X49" i="95"/>
  <c r="N49" i="95"/>
  <c r="L49" i="95"/>
  <c r="F49" i="95"/>
  <c r="B49" i="95"/>
  <c r="T48" i="95"/>
  <c r="Z48" i="95" s="1"/>
  <c r="P48" i="95"/>
  <c r="X48" i="95" s="1"/>
  <c r="N48" i="95"/>
  <c r="H48" i="95"/>
  <c r="D48" i="95"/>
  <c r="L48" i="95" s="1"/>
  <c r="B48" i="95"/>
  <c r="Z47" i="95"/>
  <c r="X47" i="95"/>
  <c r="L47" i="95"/>
  <c r="N47" i="95" s="1"/>
  <c r="B47" i="95"/>
  <c r="Z46" i="95"/>
  <c r="T46" i="95"/>
  <c r="P46" i="95"/>
  <c r="X46" i="95" s="1"/>
  <c r="L46" i="95"/>
  <c r="H46" i="95"/>
  <c r="N46" i="95" s="1"/>
  <c r="D46" i="95"/>
  <c r="B46" i="95"/>
  <c r="Z45" i="95"/>
  <c r="X45" i="95"/>
  <c r="R45" i="95"/>
  <c r="N45" i="95"/>
  <c r="L45" i="95"/>
  <c r="B45" i="95"/>
  <c r="X44" i="95"/>
  <c r="T44" i="95"/>
  <c r="Z44" i="95" s="1"/>
  <c r="P44" i="95"/>
  <c r="H44" i="95"/>
  <c r="F44" i="95"/>
  <c r="D44" i="95"/>
  <c r="B44" i="95"/>
  <c r="X43" i="95"/>
  <c r="Z43" i="95" s="1"/>
  <c r="N43" i="95"/>
  <c r="L43" i="95"/>
  <c r="B43" i="95"/>
  <c r="T42" i="95"/>
  <c r="R42" i="95"/>
  <c r="P42" i="95"/>
  <c r="H42" i="95"/>
  <c r="N42" i="95" s="1"/>
  <c r="D42" i="95"/>
  <c r="L42" i="95" s="1"/>
  <c r="B42" i="95"/>
  <c r="Z41" i="95"/>
  <c r="X41" i="95"/>
  <c r="N41" i="95"/>
  <c r="L41" i="95"/>
  <c r="F41" i="95"/>
  <c r="B41" i="95"/>
  <c r="T40" i="95"/>
  <c r="Z40" i="95" s="1"/>
  <c r="P40" i="95"/>
  <c r="X40" i="95" s="1"/>
  <c r="N40" i="95"/>
  <c r="H40" i="95"/>
  <c r="D40" i="95"/>
  <c r="L40" i="95" s="1"/>
  <c r="B40" i="95"/>
  <c r="Z39" i="95"/>
  <c r="X39" i="95"/>
  <c r="N39" i="95"/>
  <c r="L39" i="95"/>
  <c r="B39" i="95"/>
  <c r="Z38" i="95"/>
  <c r="X38" i="95"/>
  <c r="L38" i="95"/>
  <c r="N38" i="95" s="1"/>
  <c r="F38" i="95"/>
  <c r="B38" i="95"/>
  <c r="Z37" i="95"/>
  <c r="X37" i="95"/>
  <c r="N37" i="95"/>
  <c r="L37" i="95"/>
  <c r="B37" i="95"/>
  <c r="Z36" i="95"/>
  <c r="X36" i="95"/>
  <c r="L36" i="95"/>
  <c r="N36" i="95" s="1"/>
  <c r="B36" i="95"/>
  <c r="X35" i="95"/>
  <c r="Z35" i="95" s="1"/>
  <c r="L35" i="95"/>
  <c r="N35" i="95" s="1"/>
  <c r="B35" i="95"/>
  <c r="T34" i="95"/>
  <c r="R34" i="95"/>
  <c r="P34" i="95"/>
  <c r="H34" i="95"/>
  <c r="D34" i="95"/>
  <c r="L34" i="95" s="1"/>
  <c r="B34" i="95"/>
  <c r="Z33" i="95"/>
  <c r="X33" i="95"/>
  <c r="N33" i="95"/>
  <c r="L33" i="95"/>
  <c r="B33" i="95"/>
  <c r="Z32" i="95"/>
  <c r="X32" i="95"/>
  <c r="L32" i="95"/>
  <c r="N32" i="95" s="1"/>
  <c r="B32" i="95"/>
  <c r="Z31" i="95"/>
  <c r="X31" i="95"/>
  <c r="N31" i="95"/>
  <c r="L31" i="95"/>
  <c r="B31" i="95"/>
  <c r="X30" i="95"/>
  <c r="Z30" i="95" s="1"/>
  <c r="N30" i="95"/>
  <c r="L30" i="95"/>
  <c r="B30" i="95"/>
  <c r="Z29" i="95"/>
  <c r="X29" i="95"/>
  <c r="R29" i="95"/>
  <c r="N29" i="95"/>
  <c r="L29" i="95"/>
  <c r="B29" i="95"/>
  <c r="X28" i="95"/>
  <c r="Z28" i="95" s="1"/>
  <c r="N28" i="95"/>
  <c r="L28" i="95"/>
  <c r="B28" i="95"/>
  <c r="X27" i="95"/>
  <c r="Z27" i="95" s="1"/>
  <c r="L27" i="95"/>
  <c r="N27" i="95" s="1"/>
  <c r="B27" i="95"/>
  <c r="Z26" i="95"/>
  <c r="X26" i="95"/>
  <c r="L26" i="95"/>
  <c r="N26" i="95" s="1"/>
  <c r="F26" i="95"/>
  <c r="B26" i="95"/>
  <c r="Z25" i="95"/>
  <c r="X25" i="95"/>
  <c r="N25" i="95"/>
  <c r="L25" i="95"/>
  <c r="F25" i="95"/>
  <c r="B25" i="95"/>
  <c r="T24" i="95"/>
  <c r="P24" i="95"/>
  <c r="X24" i="95" s="1"/>
  <c r="H24" i="95"/>
  <c r="D24" i="95"/>
  <c r="L24" i="95" s="1"/>
  <c r="N24" i="95" s="1"/>
  <c r="B24" i="95"/>
  <c r="X23" i="95"/>
  <c r="Z23" i="95" s="1"/>
  <c r="T23" i="95"/>
  <c r="P23" i="95"/>
  <c r="H23" i="95"/>
  <c r="D23" i="95"/>
  <c r="L23" i="95" s="1"/>
  <c r="P21" i="95"/>
  <c r="Z19" i="95"/>
  <c r="X19" i="95"/>
  <c r="N19" i="95"/>
  <c r="L19" i="95"/>
  <c r="B19" i="95"/>
  <c r="Z18" i="95"/>
  <c r="X18" i="95"/>
  <c r="N18" i="95"/>
  <c r="L18" i="95"/>
  <c r="B18" i="95"/>
  <c r="X17" i="95"/>
  <c r="T17" i="95"/>
  <c r="Z17" i="95" s="1"/>
  <c r="P17" i="95"/>
  <c r="N17" i="95"/>
  <c r="L17" i="95"/>
  <c r="H17" i="95"/>
  <c r="D17" i="95"/>
  <c r="T15" i="95"/>
  <c r="Z15" i="95" s="1"/>
  <c r="P15" i="95"/>
  <c r="N15" i="95"/>
  <c r="L15" i="95"/>
  <c r="H15" i="95"/>
  <c r="D15" i="95"/>
  <c r="B15" i="95"/>
  <c r="T14" i="95"/>
  <c r="Z14" i="95" s="1"/>
  <c r="P14" i="95"/>
  <c r="N14" i="95"/>
  <c r="H14" i="95"/>
  <c r="D14" i="95"/>
  <c r="L14" i="95" s="1"/>
  <c r="B14" i="95"/>
  <c r="Z13" i="95"/>
  <c r="X13" i="95"/>
  <c r="T13" i="95"/>
  <c r="P13" i="95"/>
  <c r="P12" i="95" s="1"/>
  <c r="R65" i="95" s="1"/>
  <c r="L13" i="95"/>
  <c r="H13" i="95"/>
  <c r="N13" i="95" s="1"/>
  <c r="D13" i="95"/>
  <c r="B13" i="95"/>
  <c r="D12" i="95"/>
  <c r="F73" i="95" s="1"/>
  <c r="D6" i="95"/>
  <c r="D4" i="95"/>
  <c r="Z80" i="94"/>
  <c r="X80" i="94"/>
  <c r="L80" i="94"/>
  <c r="N80" i="94" s="1"/>
  <c r="T76" i="94"/>
  <c r="Z76" i="94" s="1"/>
  <c r="P76" i="94"/>
  <c r="H76" i="94"/>
  <c r="N76" i="94" s="1"/>
  <c r="D76" i="94"/>
  <c r="Z74" i="94"/>
  <c r="X74" i="94"/>
  <c r="L74" i="94"/>
  <c r="N74" i="94" s="1"/>
  <c r="F74" i="94"/>
  <c r="B74" i="94"/>
  <c r="T73" i="94"/>
  <c r="P73" i="94"/>
  <c r="X73" i="94" s="1"/>
  <c r="H73" i="94"/>
  <c r="D73" i="94"/>
  <c r="B73" i="94"/>
  <c r="X72" i="94"/>
  <c r="Z72" i="94" s="1"/>
  <c r="N72" i="94"/>
  <c r="L72" i="94"/>
  <c r="B72" i="94"/>
  <c r="T71" i="94"/>
  <c r="P71" i="94"/>
  <c r="H71" i="94"/>
  <c r="D71" i="94"/>
  <c r="L71" i="94" s="1"/>
  <c r="N71" i="94" s="1"/>
  <c r="B71" i="94"/>
  <c r="X70" i="94"/>
  <c r="Z70" i="94" s="1"/>
  <c r="N70" i="94"/>
  <c r="L70" i="94"/>
  <c r="B70" i="94"/>
  <c r="Z69" i="94"/>
  <c r="X69" i="94"/>
  <c r="N69" i="94"/>
  <c r="L69" i="94"/>
  <c r="B69" i="94"/>
  <c r="X68" i="94"/>
  <c r="Z68" i="94" s="1"/>
  <c r="L68" i="94"/>
  <c r="N68" i="94" s="1"/>
  <c r="B68" i="94"/>
  <c r="Z67" i="94"/>
  <c r="X67" i="94"/>
  <c r="L67" i="94"/>
  <c r="N67" i="94" s="1"/>
  <c r="B67" i="94"/>
  <c r="X66" i="94"/>
  <c r="Z66" i="94" s="1"/>
  <c r="N66" i="94"/>
  <c r="L66" i="94"/>
  <c r="B66" i="94"/>
  <c r="Z65" i="94"/>
  <c r="X65" i="94"/>
  <c r="L65" i="94"/>
  <c r="N65" i="94" s="1"/>
  <c r="J65" i="94"/>
  <c r="B65" i="94"/>
  <c r="X64" i="94"/>
  <c r="Z64" i="94" s="1"/>
  <c r="N64" i="94"/>
  <c r="L64" i="94"/>
  <c r="B64" i="94"/>
  <c r="T63" i="94"/>
  <c r="P63" i="94"/>
  <c r="H63" i="94"/>
  <c r="N63" i="94" s="1"/>
  <c r="D63" i="94"/>
  <c r="L63" i="94" s="1"/>
  <c r="B63" i="94"/>
  <c r="X62" i="94"/>
  <c r="Z62" i="94" s="1"/>
  <c r="N62" i="94"/>
  <c r="L62" i="94"/>
  <c r="F62" i="94"/>
  <c r="B62" i="94"/>
  <c r="Z61" i="94"/>
  <c r="X61" i="94"/>
  <c r="L61" i="94"/>
  <c r="N61" i="94" s="1"/>
  <c r="B61" i="94"/>
  <c r="X60" i="94"/>
  <c r="Z60" i="94" s="1"/>
  <c r="N60" i="94"/>
  <c r="L60" i="94"/>
  <c r="B60" i="94"/>
  <c r="T59" i="94"/>
  <c r="P59" i="94"/>
  <c r="H59" i="94"/>
  <c r="D59" i="94"/>
  <c r="L59" i="94" s="1"/>
  <c r="B59" i="94"/>
  <c r="X58" i="94"/>
  <c r="Z58" i="94" s="1"/>
  <c r="N58" i="94"/>
  <c r="L58" i="94"/>
  <c r="B58" i="94"/>
  <c r="Z57" i="94"/>
  <c r="X57" i="94"/>
  <c r="L57" i="94"/>
  <c r="N57" i="94" s="1"/>
  <c r="B57" i="94"/>
  <c r="T56" i="94"/>
  <c r="P56" i="94"/>
  <c r="X56" i="94" s="1"/>
  <c r="H56" i="94"/>
  <c r="D56" i="94"/>
  <c r="L56" i="94" s="1"/>
  <c r="B56" i="94"/>
  <c r="Z55" i="94"/>
  <c r="X55" i="94"/>
  <c r="L55" i="94"/>
  <c r="N55" i="94" s="1"/>
  <c r="B55" i="94"/>
  <c r="T54" i="94"/>
  <c r="P54" i="94"/>
  <c r="X54" i="94" s="1"/>
  <c r="N54" i="94"/>
  <c r="L54" i="94"/>
  <c r="H54" i="94"/>
  <c r="D54" i="94"/>
  <c r="B54" i="94"/>
  <c r="X53" i="94"/>
  <c r="Z53" i="94" s="1"/>
  <c r="N53" i="94"/>
  <c r="L53" i="94"/>
  <c r="B53" i="94"/>
  <c r="Z52" i="94"/>
  <c r="X52" i="94"/>
  <c r="T52" i="94"/>
  <c r="P52" i="94"/>
  <c r="H52" i="94"/>
  <c r="D52" i="94"/>
  <c r="B52" i="94"/>
  <c r="X51" i="94"/>
  <c r="Z51" i="94" s="1"/>
  <c r="N51" i="94"/>
  <c r="L51" i="94"/>
  <c r="B51" i="94"/>
  <c r="T50" i="94"/>
  <c r="P50" i="94"/>
  <c r="H50" i="94"/>
  <c r="N50" i="94" s="1"/>
  <c r="D50" i="94"/>
  <c r="L50" i="94" s="1"/>
  <c r="B50" i="94"/>
  <c r="Z49" i="94"/>
  <c r="X49" i="94"/>
  <c r="L49" i="94"/>
  <c r="N49" i="94" s="1"/>
  <c r="B49" i="94"/>
  <c r="T48" i="94"/>
  <c r="P48" i="94"/>
  <c r="X48" i="94" s="1"/>
  <c r="H48" i="94"/>
  <c r="D48" i="94"/>
  <c r="L48" i="94" s="1"/>
  <c r="B48" i="94"/>
  <c r="Z47" i="94"/>
  <c r="X47" i="94"/>
  <c r="L47" i="94"/>
  <c r="N47" i="94" s="1"/>
  <c r="B47" i="94"/>
  <c r="T46" i="94"/>
  <c r="P46" i="94"/>
  <c r="X46" i="94" s="1"/>
  <c r="N46" i="94"/>
  <c r="L46" i="94"/>
  <c r="H46" i="94"/>
  <c r="D46" i="94"/>
  <c r="B46" i="94"/>
  <c r="Z45" i="94"/>
  <c r="X45" i="94"/>
  <c r="N45" i="94"/>
  <c r="L45" i="94"/>
  <c r="B45" i="94"/>
  <c r="Z44" i="94"/>
  <c r="X44" i="94"/>
  <c r="T44" i="94"/>
  <c r="P44" i="94"/>
  <c r="H44" i="94"/>
  <c r="D44" i="94"/>
  <c r="B44" i="94"/>
  <c r="X43" i="94"/>
  <c r="Z43" i="94" s="1"/>
  <c r="N43" i="94"/>
  <c r="L43" i="94"/>
  <c r="B43" i="94"/>
  <c r="T42" i="94"/>
  <c r="P42" i="94"/>
  <c r="H42" i="94"/>
  <c r="D42" i="94"/>
  <c r="L42" i="94" s="1"/>
  <c r="B42" i="94"/>
  <c r="Z41" i="94"/>
  <c r="X41" i="94"/>
  <c r="N41" i="94"/>
  <c r="L41" i="94"/>
  <c r="B41" i="94"/>
  <c r="T40" i="94"/>
  <c r="P40" i="94"/>
  <c r="X40" i="94" s="1"/>
  <c r="H40" i="94"/>
  <c r="N40" i="94" s="1"/>
  <c r="D40" i="94"/>
  <c r="L40" i="94" s="1"/>
  <c r="B40" i="94"/>
  <c r="Z39" i="94"/>
  <c r="X39" i="94"/>
  <c r="L39" i="94"/>
  <c r="N39" i="94" s="1"/>
  <c r="F39" i="94"/>
  <c r="B39" i="94"/>
  <c r="X38" i="94"/>
  <c r="Z38" i="94" s="1"/>
  <c r="N38" i="94"/>
  <c r="L38" i="94"/>
  <c r="B38" i="94"/>
  <c r="Z37" i="94"/>
  <c r="X37" i="94"/>
  <c r="L37" i="94"/>
  <c r="N37" i="94" s="1"/>
  <c r="B37" i="94"/>
  <c r="X36" i="94"/>
  <c r="Z36" i="94" s="1"/>
  <c r="L36" i="94"/>
  <c r="N36" i="94" s="1"/>
  <c r="B36" i="94"/>
  <c r="X35" i="94"/>
  <c r="Z35" i="94" s="1"/>
  <c r="N35" i="94"/>
  <c r="L35" i="94"/>
  <c r="B35" i="94"/>
  <c r="T34" i="94"/>
  <c r="P34" i="94"/>
  <c r="H34" i="94"/>
  <c r="N34" i="94" s="1"/>
  <c r="F34" i="94"/>
  <c r="D34" i="94"/>
  <c r="L34" i="94" s="1"/>
  <c r="B34" i="94"/>
  <c r="Z33" i="94"/>
  <c r="X33" i="94"/>
  <c r="L33" i="94"/>
  <c r="N33" i="94" s="1"/>
  <c r="J33" i="94"/>
  <c r="B33" i="94"/>
  <c r="X32" i="94"/>
  <c r="Z32" i="94" s="1"/>
  <c r="N32" i="94"/>
  <c r="L32" i="94"/>
  <c r="B32" i="94"/>
  <c r="X31" i="94"/>
  <c r="Z31" i="94" s="1"/>
  <c r="N31" i="94"/>
  <c r="L31" i="94"/>
  <c r="B31" i="94"/>
  <c r="Z30" i="94"/>
  <c r="X30" i="94"/>
  <c r="L30" i="94"/>
  <c r="N30" i="94" s="1"/>
  <c r="B30" i="94"/>
  <c r="X29" i="94"/>
  <c r="Z29" i="94" s="1"/>
  <c r="N29" i="94"/>
  <c r="L29" i="94"/>
  <c r="B29" i="94"/>
  <c r="X28" i="94"/>
  <c r="Z28" i="94" s="1"/>
  <c r="L28" i="94"/>
  <c r="N28" i="94" s="1"/>
  <c r="B28" i="94"/>
  <c r="Z27" i="94"/>
  <c r="X27" i="94"/>
  <c r="L27" i="94"/>
  <c r="N27" i="94" s="1"/>
  <c r="B27" i="94"/>
  <c r="X26" i="94"/>
  <c r="Z26" i="94" s="1"/>
  <c r="N26" i="94"/>
  <c r="L26" i="94"/>
  <c r="J26" i="94"/>
  <c r="B26" i="94"/>
  <c r="Z25" i="94"/>
  <c r="X25" i="94"/>
  <c r="L25" i="94"/>
  <c r="N25" i="94" s="1"/>
  <c r="J25" i="94"/>
  <c r="B25" i="94"/>
  <c r="T24" i="94"/>
  <c r="Z24" i="94" s="1"/>
  <c r="P24" i="94"/>
  <c r="X24" i="94" s="1"/>
  <c r="H24" i="94"/>
  <c r="D24" i="94"/>
  <c r="L24" i="94" s="1"/>
  <c r="B24" i="94"/>
  <c r="T23" i="94"/>
  <c r="P23" i="94"/>
  <c r="X23" i="94" s="1"/>
  <c r="Z23" i="94" s="1"/>
  <c r="L23" i="94"/>
  <c r="N23" i="94" s="1"/>
  <c r="H23" i="94"/>
  <c r="D23" i="94"/>
  <c r="D21" i="94"/>
  <c r="Z19" i="94"/>
  <c r="X19" i="94"/>
  <c r="L19" i="94"/>
  <c r="N19" i="94" s="1"/>
  <c r="B19" i="94"/>
  <c r="X18" i="94"/>
  <c r="Z18" i="94" s="1"/>
  <c r="N18" i="94"/>
  <c r="L18" i="94"/>
  <c r="J18" i="94"/>
  <c r="B18" i="94"/>
  <c r="T17" i="94"/>
  <c r="P17" i="94"/>
  <c r="X17" i="94" s="1"/>
  <c r="H17" i="94"/>
  <c r="D17" i="94"/>
  <c r="L17" i="94" s="1"/>
  <c r="N17" i="94" s="1"/>
  <c r="X15" i="94"/>
  <c r="T15" i="94"/>
  <c r="P15" i="94"/>
  <c r="H15" i="94"/>
  <c r="D15" i="94"/>
  <c r="L15" i="94" s="1"/>
  <c r="B15" i="94"/>
  <c r="X14" i="94"/>
  <c r="Z14" i="94" s="1"/>
  <c r="T14" i="94"/>
  <c r="P14" i="94"/>
  <c r="H14" i="94"/>
  <c r="D14" i="94"/>
  <c r="L14" i="94" s="1"/>
  <c r="B14" i="94"/>
  <c r="T13" i="94"/>
  <c r="P13" i="94"/>
  <c r="X13" i="94" s="1"/>
  <c r="Z13" i="94" s="1"/>
  <c r="H13" i="94"/>
  <c r="N13" i="94" s="1"/>
  <c r="D13" i="94"/>
  <c r="L13" i="94" s="1"/>
  <c r="B13" i="94"/>
  <c r="H12" i="94"/>
  <c r="J61" i="94" s="1"/>
  <c r="D12" i="94"/>
  <c r="D6" i="94"/>
  <c r="D4" i="94"/>
  <c r="F31" i="93"/>
  <c r="J28" i="93"/>
  <c r="Z26" i="93"/>
  <c r="X26" i="93"/>
  <c r="N26" i="93"/>
  <c r="L26" i="93"/>
  <c r="F24" i="93"/>
  <c r="Z22" i="93"/>
  <c r="X22" i="93"/>
  <c r="T22" i="93"/>
  <c r="P22" i="93"/>
  <c r="J22" i="93"/>
  <c r="H22" i="93"/>
  <c r="N22" i="93" s="1"/>
  <c r="D22" i="93"/>
  <c r="L22" i="93" s="1"/>
  <c r="X20" i="93"/>
  <c r="Z20" i="93" s="1"/>
  <c r="L20" i="93"/>
  <c r="N20" i="93" s="1"/>
  <c r="B20" i="93"/>
  <c r="T19" i="93"/>
  <c r="P19" i="93"/>
  <c r="H19" i="93"/>
  <c r="D19" i="93"/>
  <c r="L19" i="93" s="1"/>
  <c r="B19" i="93"/>
  <c r="T18" i="93"/>
  <c r="P18" i="93"/>
  <c r="X18" i="93" s="1"/>
  <c r="L18" i="93"/>
  <c r="N18" i="93" s="1"/>
  <c r="H18" i="93"/>
  <c r="D18" i="93"/>
  <c r="J16" i="93"/>
  <c r="F16" i="93"/>
  <c r="D16" i="93"/>
  <c r="X14" i="93"/>
  <c r="T14" i="93"/>
  <c r="Z14" i="93" s="1"/>
  <c r="R14" i="93"/>
  <c r="P14" i="93"/>
  <c r="N14" i="93"/>
  <c r="L14" i="93"/>
  <c r="H14" i="93"/>
  <c r="D14" i="93"/>
  <c r="T12" i="93"/>
  <c r="P12" i="93"/>
  <c r="L12" i="93"/>
  <c r="H12" i="93"/>
  <c r="J26" i="93" s="1"/>
  <c r="D12" i="93"/>
  <c r="F28" i="93" s="1"/>
  <c r="D6" i="93"/>
  <c r="D4" i="93"/>
  <c r="X79" i="92"/>
  <c r="Z79" i="92" s="1"/>
  <c r="L79" i="92"/>
  <c r="N79" i="92" s="1"/>
  <c r="Z75" i="92"/>
  <c r="X75" i="92"/>
  <c r="V75" i="92"/>
  <c r="T75" i="92"/>
  <c r="P75" i="92"/>
  <c r="H75" i="92"/>
  <c r="F75" i="92"/>
  <c r="D75" i="92"/>
  <c r="X73" i="92"/>
  <c r="Z73" i="92" s="1"/>
  <c r="L73" i="92"/>
  <c r="N73" i="92" s="1"/>
  <c r="J73" i="92"/>
  <c r="B73" i="92"/>
  <c r="T72" i="92"/>
  <c r="P72" i="92"/>
  <c r="X72" i="92" s="1"/>
  <c r="H72" i="92"/>
  <c r="D72" i="92"/>
  <c r="L72" i="92" s="1"/>
  <c r="B72" i="92"/>
  <c r="Z71" i="92"/>
  <c r="X71" i="92"/>
  <c r="N71" i="92"/>
  <c r="L71" i="92"/>
  <c r="F71" i="92"/>
  <c r="B71" i="92"/>
  <c r="Z70" i="92"/>
  <c r="X70" i="92"/>
  <c r="N70" i="92"/>
  <c r="L70" i="92"/>
  <c r="B70" i="92"/>
  <c r="X69" i="92"/>
  <c r="Z69" i="92" s="1"/>
  <c r="N69" i="92"/>
  <c r="L69" i="92"/>
  <c r="B69" i="92"/>
  <c r="X68" i="92"/>
  <c r="Z68" i="92" s="1"/>
  <c r="N68" i="92"/>
  <c r="L68" i="92"/>
  <c r="B68" i="92"/>
  <c r="X67" i="92"/>
  <c r="Z67" i="92" s="1"/>
  <c r="N67" i="92"/>
  <c r="L67" i="92"/>
  <c r="B67" i="92"/>
  <c r="Z66" i="92"/>
  <c r="X66" i="92"/>
  <c r="N66" i="92"/>
  <c r="L66" i="92"/>
  <c r="B66" i="92"/>
  <c r="X65" i="92"/>
  <c r="Z65" i="92" s="1"/>
  <c r="N65" i="92"/>
  <c r="L65" i="92"/>
  <c r="B65" i="92"/>
  <c r="Z64" i="92"/>
  <c r="X64" i="92"/>
  <c r="N64" i="92"/>
  <c r="L64" i="92"/>
  <c r="B64" i="92"/>
  <c r="Z63" i="92"/>
  <c r="T63" i="92"/>
  <c r="P63" i="92"/>
  <c r="X63" i="92" s="1"/>
  <c r="N63" i="92"/>
  <c r="L63" i="92"/>
  <c r="H63" i="92"/>
  <c r="D63" i="92"/>
  <c r="B63" i="92"/>
  <c r="Z62" i="92"/>
  <c r="X62" i="92"/>
  <c r="V62" i="92"/>
  <c r="N62" i="92"/>
  <c r="L62" i="92"/>
  <c r="B62" i="92"/>
  <c r="X61" i="92"/>
  <c r="Z61" i="92" s="1"/>
  <c r="L61" i="92"/>
  <c r="N61" i="92" s="1"/>
  <c r="B61" i="92"/>
  <c r="Z60" i="92"/>
  <c r="X60" i="92"/>
  <c r="N60" i="92"/>
  <c r="L60" i="92"/>
  <c r="B60" i="92"/>
  <c r="T59" i="92"/>
  <c r="P59" i="92"/>
  <c r="X59" i="92" s="1"/>
  <c r="Z59" i="92" s="1"/>
  <c r="L59" i="92"/>
  <c r="N59" i="92" s="1"/>
  <c r="H59" i="92"/>
  <c r="D59" i="92"/>
  <c r="B59" i="92"/>
  <c r="Z58" i="92"/>
  <c r="X58" i="92"/>
  <c r="V58" i="92"/>
  <c r="N58" i="92"/>
  <c r="L58" i="92"/>
  <c r="B58" i="92"/>
  <c r="X57" i="92"/>
  <c r="Z57" i="92" s="1"/>
  <c r="N57" i="92"/>
  <c r="L57" i="92"/>
  <c r="B57" i="92"/>
  <c r="Z56" i="92"/>
  <c r="X56" i="92"/>
  <c r="T56" i="92"/>
  <c r="P56" i="92"/>
  <c r="H56" i="92"/>
  <c r="D56" i="92"/>
  <c r="B56" i="92"/>
  <c r="X55" i="92"/>
  <c r="Z55" i="92" s="1"/>
  <c r="N55" i="92"/>
  <c r="L55" i="92"/>
  <c r="B55" i="92"/>
  <c r="T54" i="92"/>
  <c r="P54" i="92"/>
  <c r="H54" i="92"/>
  <c r="N54" i="92" s="1"/>
  <c r="D54" i="92"/>
  <c r="L54" i="92" s="1"/>
  <c r="B54" i="92"/>
  <c r="X53" i="92"/>
  <c r="Z53" i="92" s="1"/>
  <c r="N53" i="92"/>
  <c r="L53" i="92"/>
  <c r="B53" i="92"/>
  <c r="T52" i="92"/>
  <c r="P52" i="92"/>
  <c r="X52" i="92" s="1"/>
  <c r="H52" i="92"/>
  <c r="N52" i="92" s="1"/>
  <c r="D52" i="92"/>
  <c r="L52" i="92" s="1"/>
  <c r="B52" i="92"/>
  <c r="Z51" i="92"/>
  <c r="X51" i="92"/>
  <c r="L51" i="92"/>
  <c r="N51" i="92" s="1"/>
  <c r="B51" i="92"/>
  <c r="T50" i="92"/>
  <c r="P50" i="92"/>
  <c r="X50" i="92" s="1"/>
  <c r="L50" i="92"/>
  <c r="N50" i="92" s="1"/>
  <c r="H50" i="92"/>
  <c r="D50" i="92"/>
  <c r="B50" i="92"/>
  <c r="Z49" i="92"/>
  <c r="X49" i="92"/>
  <c r="N49" i="92"/>
  <c r="L49" i="92"/>
  <c r="B49" i="92"/>
  <c r="Z48" i="92"/>
  <c r="X48" i="92"/>
  <c r="T48" i="92"/>
  <c r="P48" i="92"/>
  <c r="H48" i="92"/>
  <c r="D48" i="92"/>
  <c r="B48" i="92"/>
  <c r="X47" i="92"/>
  <c r="Z47" i="92" s="1"/>
  <c r="N47" i="92"/>
  <c r="L47" i="92"/>
  <c r="B47" i="92"/>
  <c r="T46" i="92"/>
  <c r="P46" i="92"/>
  <c r="H46" i="92"/>
  <c r="D46" i="92"/>
  <c r="L46" i="92" s="1"/>
  <c r="B46" i="92"/>
  <c r="Z45" i="92"/>
  <c r="X45" i="92"/>
  <c r="N45" i="92"/>
  <c r="L45" i="92"/>
  <c r="B45" i="92"/>
  <c r="T44" i="92"/>
  <c r="Z44" i="92" s="1"/>
  <c r="P44" i="92"/>
  <c r="X44" i="92" s="1"/>
  <c r="H44" i="92"/>
  <c r="N44" i="92" s="1"/>
  <c r="D44" i="92"/>
  <c r="L44" i="92" s="1"/>
  <c r="B44" i="92"/>
  <c r="Z43" i="92"/>
  <c r="X43" i="92"/>
  <c r="N43" i="92"/>
  <c r="L43" i="92"/>
  <c r="B43" i="92"/>
  <c r="T42" i="92"/>
  <c r="Z42" i="92" s="1"/>
  <c r="P42" i="92"/>
  <c r="X42" i="92" s="1"/>
  <c r="N42" i="92"/>
  <c r="L42" i="92"/>
  <c r="H42" i="92"/>
  <c r="D42" i="92"/>
  <c r="B42" i="92"/>
  <c r="X41" i="92"/>
  <c r="Z41" i="92" s="1"/>
  <c r="V41" i="92"/>
  <c r="N41" i="92"/>
  <c r="L41" i="92"/>
  <c r="B41" i="92"/>
  <c r="Z40" i="92"/>
  <c r="X40" i="92"/>
  <c r="T40" i="92"/>
  <c r="P40" i="92"/>
  <c r="J40" i="92"/>
  <c r="H40" i="92"/>
  <c r="D40" i="92"/>
  <c r="B40" i="92"/>
  <c r="Z39" i="92"/>
  <c r="X39" i="92"/>
  <c r="N39" i="92"/>
  <c r="L39" i="92"/>
  <c r="B39" i="92"/>
  <c r="Z38" i="92"/>
  <c r="X38" i="92"/>
  <c r="V38" i="92"/>
  <c r="L38" i="92"/>
  <c r="N38" i="92" s="1"/>
  <c r="B38" i="92"/>
  <c r="Z37" i="92"/>
  <c r="X37" i="92"/>
  <c r="N37" i="92"/>
  <c r="L37" i="92"/>
  <c r="B37" i="92"/>
  <c r="X36" i="92"/>
  <c r="Z36" i="92" s="1"/>
  <c r="L36" i="92"/>
  <c r="N36" i="92" s="1"/>
  <c r="B36" i="92"/>
  <c r="Z35" i="92"/>
  <c r="X35" i="92"/>
  <c r="L35" i="92"/>
  <c r="N35" i="92" s="1"/>
  <c r="B35" i="92"/>
  <c r="T34" i="92"/>
  <c r="P34" i="92"/>
  <c r="X34" i="92" s="1"/>
  <c r="N34" i="92"/>
  <c r="L34" i="92"/>
  <c r="H34" i="92"/>
  <c r="D34" i="92"/>
  <c r="B34" i="92"/>
  <c r="X33" i="92"/>
  <c r="Z33" i="92" s="1"/>
  <c r="V33" i="92"/>
  <c r="N33" i="92"/>
  <c r="L33" i="92"/>
  <c r="B33" i="92"/>
  <c r="X32" i="92"/>
  <c r="Z32" i="92" s="1"/>
  <c r="L32" i="92"/>
  <c r="N32" i="92" s="1"/>
  <c r="B32" i="92"/>
  <c r="Z31" i="92"/>
  <c r="X31" i="92"/>
  <c r="L31" i="92"/>
  <c r="N31" i="92" s="1"/>
  <c r="B31" i="92"/>
  <c r="X30" i="92"/>
  <c r="Z30" i="92" s="1"/>
  <c r="L30" i="92"/>
  <c r="N30" i="92" s="1"/>
  <c r="F30" i="92"/>
  <c r="B30" i="92"/>
  <c r="X29" i="92"/>
  <c r="Z29" i="92" s="1"/>
  <c r="L29" i="92"/>
  <c r="N29" i="92" s="1"/>
  <c r="B29" i="92"/>
  <c r="X28" i="92"/>
  <c r="Z28" i="92" s="1"/>
  <c r="L28" i="92"/>
  <c r="N28" i="92" s="1"/>
  <c r="B28" i="92"/>
  <c r="X27" i="92"/>
  <c r="Z27" i="92" s="1"/>
  <c r="N27" i="92"/>
  <c r="L27" i="92"/>
  <c r="B27" i="92"/>
  <c r="X26" i="92"/>
  <c r="Z26" i="92" s="1"/>
  <c r="V26" i="92"/>
  <c r="L26" i="92"/>
  <c r="N26" i="92" s="1"/>
  <c r="B26" i="92"/>
  <c r="X25" i="92"/>
  <c r="Z25" i="92" s="1"/>
  <c r="V25" i="92"/>
  <c r="L25" i="92"/>
  <c r="N25" i="92" s="1"/>
  <c r="B25" i="92"/>
  <c r="Z24" i="92"/>
  <c r="X24" i="92"/>
  <c r="T24" i="92"/>
  <c r="P24" i="92"/>
  <c r="H24" i="92"/>
  <c r="D24" i="92"/>
  <c r="B24" i="92"/>
  <c r="T23" i="92"/>
  <c r="P23" i="92"/>
  <c r="H23" i="92"/>
  <c r="D23" i="92"/>
  <c r="L23" i="92" s="1"/>
  <c r="X19" i="92"/>
  <c r="Z19" i="92" s="1"/>
  <c r="N19" i="92"/>
  <c r="L19" i="92"/>
  <c r="B19" i="92"/>
  <c r="Z18" i="92"/>
  <c r="X18" i="92"/>
  <c r="N18" i="92"/>
  <c r="L18" i="92"/>
  <c r="B18" i="92"/>
  <c r="X17" i="92"/>
  <c r="Z17" i="92" s="1"/>
  <c r="V17" i="92"/>
  <c r="T17" i="92"/>
  <c r="P17" i="92"/>
  <c r="H17" i="92"/>
  <c r="F17" i="92"/>
  <c r="D17" i="92"/>
  <c r="T15" i="92"/>
  <c r="P15" i="92"/>
  <c r="X15" i="92" s="1"/>
  <c r="L15" i="92"/>
  <c r="H15" i="92"/>
  <c r="D15" i="92"/>
  <c r="D12" i="92" s="1"/>
  <c r="B15" i="92"/>
  <c r="T14" i="92"/>
  <c r="Z14" i="92" s="1"/>
  <c r="P14" i="92"/>
  <c r="X14" i="92" s="1"/>
  <c r="L14" i="92"/>
  <c r="N14" i="92" s="1"/>
  <c r="H14" i="92"/>
  <c r="H12" i="92" s="1"/>
  <c r="J69" i="92" s="1"/>
  <c r="D14" i="92"/>
  <c r="B14" i="92"/>
  <c r="T13" i="92"/>
  <c r="P13" i="92"/>
  <c r="X13" i="92" s="1"/>
  <c r="N13" i="92"/>
  <c r="L13" i="92"/>
  <c r="H13" i="92"/>
  <c r="D13" i="92"/>
  <c r="B13" i="92"/>
  <c r="T12" i="92"/>
  <c r="D6" i="92"/>
  <c r="D4" i="92"/>
  <c r="J53" i="91"/>
  <c r="Z48" i="91"/>
  <c r="X48" i="91"/>
  <c r="N48" i="91"/>
  <c r="L48" i="91"/>
  <c r="J46" i="91"/>
  <c r="H46" i="91"/>
  <c r="T44" i="91"/>
  <c r="Z44" i="91" s="1"/>
  <c r="P44" i="91"/>
  <c r="X44" i="91" s="1"/>
  <c r="N44" i="91"/>
  <c r="H44" i="91"/>
  <c r="D44" i="91"/>
  <c r="L44" i="91" s="1"/>
  <c r="Z42" i="91"/>
  <c r="X42" i="91"/>
  <c r="N42" i="91"/>
  <c r="L42" i="91"/>
  <c r="B42" i="91"/>
  <c r="Z41" i="91"/>
  <c r="T41" i="91"/>
  <c r="P41" i="91"/>
  <c r="X41" i="91" s="1"/>
  <c r="N41" i="91"/>
  <c r="L41" i="91"/>
  <c r="J41" i="91"/>
  <c r="H41" i="91"/>
  <c r="D41" i="91"/>
  <c r="B41" i="91"/>
  <c r="Z40" i="91"/>
  <c r="X40" i="91"/>
  <c r="R40" i="91"/>
  <c r="N40" i="91"/>
  <c r="L40" i="91"/>
  <c r="B40" i="91"/>
  <c r="X39" i="91"/>
  <c r="Z39" i="91" s="1"/>
  <c r="T39" i="91"/>
  <c r="P39" i="91"/>
  <c r="H39" i="91"/>
  <c r="D39" i="91"/>
  <c r="B39" i="91"/>
  <c r="Z38" i="91"/>
  <c r="X38" i="91"/>
  <c r="N38" i="91"/>
  <c r="L38" i="91"/>
  <c r="B38" i="91"/>
  <c r="X37" i="91"/>
  <c r="Z37" i="91" s="1"/>
  <c r="N37" i="91"/>
  <c r="L37" i="91"/>
  <c r="B37" i="91"/>
  <c r="T36" i="91"/>
  <c r="P36" i="91"/>
  <c r="H36" i="91"/>
  <c r="N36" i="91" s="1"/>
  <c r="D36" i="91"/>
  <c r="L36" i="91" s="1"/>
  <c r="B36" i="91"/>
  <c r="Z35" i="91"/>
  <c r="X35" i="91"/>
  <c r="N35" i="91"/>
  <c r="L35" i="91"/>
  <c r="J35" i="91"/>
  <c r="B35" i="91"/>
  <c r="T34" i="91"/>
  <c r="Z34" i="91" s="1"/>
  <c r="P34" i="91"/>
  <c r="X34" i="91" s="1"/>
  <c r="N34" i="91"/>
  <c r="H34" i="91"/>
  <c r="D34" i="91"/>
  <c r="L34" i="91" s="1"/>
  <c r="B34" i="91"/>
  <c r="Z33" i="91"/>
  <c r="X33" i="91"/>
  <c r="N33" i="91"/>
  <c r="L33" i="91"/>
  <c r="B33" i="91"/>
  <c r="T32" i="91"/>
  <c r="P32" i="91"/>
  <c r="X32" i="91" s="1"/>
  <c r="Z32" i="91" s="1"/>
  <c r="N32" i="91"/>
  <c r="L32" i="91"/>
  <c r="H32" i="91"/>
  <c r="D32" i="91"/>
  <c r="B32" i="91"/>
  <c r="Z31" i="91"/>
  <c r="X31" i="91"/>
  <c r="V31" i="91"/>
  <c r="N31" i="91"/>
  <c r="L31" i="91"/>
  <c r="B31" i="91"/>
  <c r="Z30" i="91"/>
  <c r="X30" i="91"/>
  <c r="T30" i="91"/>
  <c r="P30" i="91"/>
  <c r="J30" i="91"/>
  <c r="H30" i="91"/>
  <c r="D30" i="91"/>
  <c r="B30" i="91"/>
  <c r="X29" i="91"/>
  <c r="Z29" i="91" s="1"/>
  <c r="N29" i="91"/>
  <c r="L29" i="91"/>
  <c r="B29" i="91"/>
  <c r="T28" i="91"/>
  <c r="P28" i="91"/>
  <c r="H28" i="91"/>
  <c r="N28" i="91" s="1"/>
  <c r="D28" i="91"/>
  <c r="L28" i="91" s="1"/>
  <c r="B28" i="91"/>
  <c r="X27" i="91"/>
  <c r="Z27" i="91" s="1"/>
  <c r="L27" i="91"/>
  <c r="N27" i="91" s="1"/>
  <c r="B27" i="91"/>
  <c r="X26" i="91"/>
  <c r="Z26" i="91" s="1"/>
  <c r="L26" i="91"/>
  <c r="N26" i="91" s="1"/>
  <c r="B26" i="91"/>
  <c r="X25" i="91"/>
  <c r="Z25" i="91" s="1"/>
  <c r="N25" i="91"/>
  <c r="L25" i="91"/>
  <c r="B25" i="91"/>
  <c r="Z24" i="91"/>
  <c r="X24" i="91"/>
  <c r="V24" i="91"/>
  <c r="R24" i="91"/>
  <c r="N24" i="91"/>
  <c r="L24" i="91"/>
  <c r="B24" i="91"/>
  <c r="Z23" i="91"/>
  <c r="X23" i="91"/>
  <c r="L23" i="91"/>
  <c r="N23" i="91" s="1"/>
  <c r="B23" i="91"/>
  <c r="X22" i="91"/>
  <c r="Z22" i="91" s="1"/>
  <c r="L22" i="91"/>
  <c r="N22" i="91" s="1"/>
  <c r="J22" i="91"/>
  <c r="B22" i="91"/>
  <c r="Z21" i="91"/>
  <c r="X21" i="91"/>
  <c r="L21" i="91"/>
  <c r="N21" i="91" s="1"/>
  <c r="B21" i="91"/>
  <c r="Z20" i="91"/>
  <c r="X20" i="91"/>
  <c r="N20" i="91"/>
  <c r="L20" i="91"/>
  <c r="B20" i="91"/>
  <c r="V19" i="91"/>
  <c r="T19" i="91"/>
  <c r="P19" i="91"/>
  <c r="H19" i="91"/>
  <c r="D19" i="91"/>
  <c r="L19" i="91" s="1"/>
  <c r="B19" i="91"/>
  <c r="T18" i="91"/>
  <c r="P18" i="91"/>
  <c r="X18" i="91" s="1"/>
  <c r="Z18" i="91" s="1"/>
  <c r="H18" i="91"/>
  <c r="D18" i="91"/>
  <c r="L18" i="91" s="1"/>
  <c r="N18" i="91" s="1"/>
  <c r="V16" i="91"/>
  <c r="J16" i="91"/>
  <c r="H16" i="91"/>
  <c r="N16" i="91" s="1"/>
  <c r="T14" i="91"/>
  <c r="Z14" i="91" s="1"/>
  <c r="P14" i="91"/>
  <c r="X14" i="91" s="1"/>
  <c r="N14" i="91"/>
  <c r="H14" i="91"/>
  <c r="D14" i="91"/>
  <c r="L14" i="91" s="1"/>
  <c r="T12" i="91"/>
  <c r="V39" i="91" s="1"/>
  <c r="P12" i="91"/>
  <c r="N12" i="91"/>
  <c r="H12" i="91"/>
  <c r="D12" i="91"/>
  <c r="F21" i="91" s="1"/>
  <c r="D6" i="91"/>
  <c r="D4" i="91"/>
  <c r="Z48" i="90"/>
  <c r="X48" i="90"/>
  <c r="N48" i="90"/>
  <c r="L48" i="90"/>
  <c r="T44" i="90"/>
  <c r="Z44" i="90" s="1"/>
  <c r="P44" i="90"/>
  <c r="X44" i="90" s="1"/>
  <c r="H44" i="90"/>
  <c r="N44" i="90" s="1"/>
  <c r="D44" i="90"/>
  <c r="L44" i="90" s="1"/>
  <c r="Z42" i="90"/>
  <c r="X42" i="90"/>
  <c r="L42" i="90"/>
  <c r="N42" i="90" s="1"/>
  <c r="B42" i="90"/>
  <c r="T41" i="90"/>
  <c r="P41" i="90"/>
  <c r="X41" i="90" s="1"/>
  <c r="Z41" i="90" s="1"/>
  <c r="L41" i="90"/>
  <c r="N41" i="90" s="1"/>
  <c r="H41" i="90"/>
  <c r="D41" i="90"/>
  <c r="B41" i="90"/>
  <c r="Z40" i="90"/>
  <c r="X40" i="90"/>
  <c r="N40" i="90"/>
  <c r="L40" i="90"/>
  <c r="F40" i="90"/>
  <c r="B40" i="90"/>
  <c r="Z39" i="90"/>
  <c r="X39" i="90"/>
  <c r="T39" i="90"/>
  <c r="P39" i="90"/>
  <c r="H39" i="90"/>
  <c r="L39" i="90" s="1"/>
  <c r="F39" i="90"/>
  <c r="D39" i="90"/>
  <c r="B39" i="90"/>
  <c r="Z38" i="90"/>
  <c r="X38" i="90"/>
  <c r="N38" i="90"/>
  <c r="L38" i="90"/>
  <c r="B38" i="90"/>
  <c r="Z37" i="90"/>
  <c r="T37" i="90"/>
  <c r="X37" i="90" s="1"/>
  <c r="P37" i="90"/>
  <c r="H37" i="90"/>
  <c r="N37" i="90" s="1"/>
  <c r="D37" i="90"/>
  <c r="L37" i="90" s="1"/>
  <c r="B37" i="90"/>
  <c r="X36" i="90"/>
  <c r="Z36" i="90" s="1"/>
  <c r="N36" i="90"/>
  <c r="L36" i="90"/>
  <c r="F36" i="90"/>
  <c r="B36" i="90"/>
  <c r="T35" i="90"/>
  <c r="Z35" i="90" s="1"/>
  <c r="P35" i="90"/>
  <c r="X35" i="90" s="1"/>
  <c r="N35" i="90"/>
  <c r="H35" i="90"/>
  <c r="F35" i="90"/>
  <c r="D35" i="90"/>
  <c r="L35" i="90" s="1"/>
  <c r="B35" i="90"/>
  <c r="Z34" i="90"/>
  <c r="X34" i="90"/>
  <c r="N34" i="90"/>
  <c r="L34" i="90"/>
  <c r="B34" i="90"/>
  <c r="Z33" i="90"/>
  <c r="T33" i="90"/>
  <c r="P33" i="90"/>
  <c r="X33" i="90" s="1"/>
  <c r="N33" i="90"/>
  <c r="L33" i="90"/>
  <c r="H33" i="90"/>
  <c r="D33" i="90"/>
  <c r="B33" i="90"/>
  <c r="X32" i="90"/>
  <c r="Z32" i="90" s="1"/>
  <c r="N32" i="90"/>
  <c r="L32" i="90"/>
  <c r="F32" i="90"/>
  <c r="B32" i="90"/>
  <c r="X31" i="90"/>
  <c r="Z31" i="90" s="1"/>
  <c r="T31" i="90"/>
  <c r="P31" i="90"/>
  <c r="N31" i="90"/>
  <c r="H31" i="90"/>
  <c r="L31" i="90" s="1"/>
  <c r="F31" i="90"/>
  <c r="D31" i="90"/>
  <c r="B31" i="90"/>
  <c r="Z30" i="90"/>
  <c r="X30" i="90"/>
  <c r="N30" i="90"/>
  <c r="L30" i="90"/>
  <c r="B30" i="90"/>
  <c r="Z29" i="90"/>
  <c r="T29" i="90"/>
  <c r="X29" i="90" s="1"/>
  <c r="P29" i="90"/>
  <c r="H29" i="90"/>
  <c r="N29" i="90" s="1"/>
  <c r="D29" i="90"/>
  <c r="L29" i="90" s="1"/>
  <c r="B29" i="90"/>
  <c r="Z28" i="90"/>
  <c r="X28" i="90"/>
  <c r="N28" i="90"/>
  <c r="L28" i="90"/>
  <c r="F28" i="90"/>
  <c r="B28" i="90"/>
  <c r="T27" i="90"/>
  <c r="Z27" i="90" s="1"/>
  <c r="P27" i="90"/>
  <c r="X27" i="90" s="1"/>
  <c r="N27" i="90"/>
  <c r="H27" i="90"/>
  <c r="F27" i="90"/>
  <c r="D27" i="90"/>
  <c r="L27" i="90" s="1"/>
  <c r="B27" i="90"/>
  <c r="Z26" i="90"/>
  <c r="X26" i="90"/>
  <c r="N26" i="90"/>
  <c r="L26" i="90"/>
  <c r="B26" i="90"/>
  <c r="Z25" i="90"/>
  <c r="X25" i="90"/>
  <c r="N25" i="90"/>
  <c r="L25" i="90"/>
  <c r="F25" i="90"/>
  <c r="B25" i="90"/>
  <c r="Z24" i="90"/>
  <c r="X24" i="90"/>
  <c r="N24" i="90"/>
  <c r="L24" i="90"/>
  <c r="F24" i="90"/>
  <c r="B24" i="90"/>
  <c r="X23" i="90"/>
  <c r="Z23" i="90" s="1"/>
  <c r="N23" i="90"/>
  <c r="L23" i="90"/>
  <c r="B23" i="90"/>
  <c r="X22" i="90"/>
  <c r="Z22" i="90" s="1"/>
  <c r="N22" i="90"/>
  <c r="L22" i="90"/>
  <c r="B22" i="90"/>
  <c r="Z21" i="90"/>
  <c r="T21" i="90"/>
  <c r="X21" i="90" s="1"/>
  <c r="P21" i="90"/>
  <c r="H21" i="90"/>
  <c r="N21" i="90" s="1"/>
  <c r="D21" i="90"/>
  <c r="L21" i="90" s="1"/>
  <c r="B21" i="90"/>
  <c r="T20" i="90"/>
  <c r="P20" i="90"/>
  <c r="L20" i="90"/>
  <c r="N20" i="90" s="1"/>
  <c r="H20" i="90"/>
  <c r="D20" i="90"/>
  <c r="F18" i="90"/>
  <c r="D18" i="90"/>
  <c r="Z16" i="90"/>
  <c r="X16" i="90"/>
  <c r="N16" i="90"/>
  <c r="L16" i="90"/>
  <c r="F16" i="90"/>
  <c r="B16" i="90"/>
  <c r="T15" i="90"/>
  <c r="Z15" i="90" s="1"/>
  <c r="P15" i="90"/>
  <c r="X15" i="90" s="1"/>
  <c r="N15" i="90"/>
  <c r="H15" i="90"/>
  <c r="F15" i="90"/>
  <c r="D15" i="90"/>
  <c r="L15" i="90" s="1"/>
  <c r="T13" i="90"/>
  <c r="P13" i="90"/>
  <c r="P12" i="90" s="1"/>
  <c r="H13" i="90"/>
  <c r="D13" i="90"/>
  <c r="B13" i="90"/>
  <c r="D12" i="90"/>
  <c r="D6" i="90"/>
  <c r="D4" i="90"/>
  <c r="Z32" i="89"/>
  <c r="X32" i="89"/>
  <c r="N32" i="89"/>
  <c r="L32" i="89"/>
  <c r="J32" i="89"/>
  <c r="X28" i="89"/>
  <c r="T28" i="89"/>
  <c r="Z28" i="89" s="1"/>
  <c r="P28" i="89"/>
  <c r="H28" i="89"/>
  <c r="N28" i="89" s="1"/>
  <c r="D28" i="89"/>
  <c r="L28" i="89" s="1"/>
  <c r="X26" i="89"/>
  <c r="Z26" i="89" s="1"/>
  <c r="R26" i="89"/>
  <c r="L26" i="89"/>
  <c r="N26" i="89" s="1"/>
  <c r="J26" i="89"/>
  <c r="B26" i="89"/>
  <c r="T25" i="89"/>
  <c r="Z25" i="89" s="1"/>
  <c r="R25" i="89"/>
  <c r="P25" i="89"/>
  <c r="X25" i="89" s="1"/>
  <c r="H25" i="89"/>
  <c r="D25" i="89"/>
  <c r="L25" i="89" s="1"/>
  <c r="N25" i="89" s="1"/>
  <c r="B25" i="89"/>
  <c r="X24" i="89"/>
  <c r="Z24" i="89" s="1"/>
  <c r="N24" i="89"/>
  <c r="L24" i="89"/>
  <c r="B24" i="89"/>
  <c r="T23" i="89"/>
  <c r="R23" i="89"/>
  <c r="P23" i="89"/>
  <c r="X23" i="89" s="1"/>
  <c r="Z23" i="89" s="1"/>
  <c r="N23" i="89"/>
  <c r="L23" i="89"/>
  <c r="J23" i="89"/>
  <c r="H23" i="89"/>
  <c r="D23" i="89"/>
  <c r="B23" i="89"/>
  <c r="X22" i="89"/>
  <c r="Z22" i="89" s="1"/>
  <c r="V22" i="89"/>
  <c r="R22" i="89"/>
  <c r="N22" i="89"/>
  <c r="L22" i="89"/>
  <c r="F22" i="89"/>
  <c r="B22" i="89"/>
  <c r="X21" i="89"/>
  <c r="Z21" i="89" s="1"/>
  <c r="V21" i="89"/>
  <c r="T21" i="89"/>
  <c r="P21" i="89"/>
  <c r="N21" i="89"/>
  <c r="J21" i="89"/>
  <c r="H21" i="89"/>
  <c r="L21" i="89" s="1"/>
  <c r="D21" i="89"/>
  <c r="B21" i="89"/>
  <c r="X20" i="89"/>
  <c r="Z20" i="89" s="1"/>
  <c r="L20" i="89"/>
  <c r="N20" i="89" s="1"/>
  <c r="B20" i="89"/>
  <c r="V19" i="89"/>
  <c r="T19" i="89"/>
  <c r="R19" i="89"/>
  <c r="P19" i="89"/>
  <c r="J19" i="89"/>
  <c r="H19" i="89"/>
  <c r="N19" i="89" s="1"/>
  <c r="D19" i="89"/>
  <c r="L19" i="89" s="1"/>
  <c r="B19" i="89"/>
  <c r="T18" i="89"/>
  <c r="P18" i="89"/>
  <c r="L18" i="89"/>
  <c r="N18" i="89" s="1"/>
  <c r="H18" i="89"/>
  <c r="D18" i="89"/>
  <c r="V16" i="89"/>
  <c r="T16" i="89"/>
  <c r="J16" i="89"/>
  <c r="H16" i="89"/>
  <c r="F16" i="89"/>
  <c r="T14" i="89"/>
  <c r="Z14" i="89" s="1"/>
  <c r="P14" i="89"/>
  <c r="X14" i="89" s="1"/>
  <c r="N14" i="89"/>
  <c r="L14" i="89"/>
  <c r="H14" i="89"/>
  <c r="D14" i="89"/>
  <c r="X12" i="89"/>
  <c r="T12" i="89"/>
  <c r="V34" i="89" s="1"/>
  <c r="P12" i="89"/>
  <c r="N12" i="89"/>
  <c r="H12" i="89"/>
  <c r="J37" i="89" s="1"/>
  <c r="D12" i="89"/>
  <c r="F34" i="89" s="1"/>
  <c r="D6" i="89"/>
  <c r="D4" i="89"/>
  <c r="J39" i="88"/>
  <c r="Z34" i="88"/>
  <c r="X34" i="88"/>
  <c r="N34" i="88"/>
  <c r="L34" i="88"/>
  <c r="J32" i="88"/>
  <c r="T30" i="88"/>
  <c r="P30" i="88"/>
  <c r="P29" i="88" s="1"/>
  <c r="H30" i="88"/>
  <c r="D30" i="88"/>
  <c r="B30" i="88"/>
  <c r="X27" i="88"/>
  <c r="Z27" i="88" s="1"/>
  <c r="V27" i="88"/>
  <c r="L27" i="88"/>
  <c r="N27" i="88" s="1"/>
  <c r="B27" i="88"/>
  <c r="T26" i="88"/>
  <c r="X26" i="88" s="1"/>
  <c r="Z26" i="88" s="1"/>
  <c r="P26" i="88"/>
  <c r="L26" i="88"/>
  <c r="J26" i="88"/>
  <c r="H26" i="88"/>
  <c r="N26" i="88" s="1"/>
  <c r="D26" i="88"/>
  <c r="B26" i="88"/>
  <c r="Z25" i="88"/>
  <c r="X25" i="88"/>
  <c r="V25" i="88"/>
  <c r="R25" i="88"/>
  <c r="N25" i="88"/>
  <c r="L25" i="88"/>
  <c r="J25" i="88"/>
  <c r="B25" i="88"/>
  <c r="X24" i="88"/>
  <c r="V24" i="88"/>
  <c r="T24" i="88"/>
  <c r="Z24" i="88" s="1"/>
  <c r="P24" i="88"/>
  <c r="H24" i="88"/>
  <c r="N24" i="88" s="1"/>
  <c r="F24" i="88"/>
  <c r="D24" i="88"/>
  <c r="L24" i="88" s="1"/>
  <c r="B24" i="88"/>
  <c r="Z23" i="88"/>
  <c r="X23" i="88"/>
  <c r="V23" i="88"/>
  <c r="N23" i="88"/>
  <c r="L23" i="88"/>
  <c r="J23" i="88"/>
  <c r="B23" i="88"/>
  <c r="T22" i="88"/>
  <c r="Z22" i="88" s="1"/>
  <c r="P22" i="88"/>
  <c r="X22" i="88" s="1"/>
  <c r="J22" i="88"/>
  <c r="H22" i="88"/>
  <c r="N22" i="88" s="1"/>
  <c r="D22" i="88"/>
  <c r="L22" i="88" s="1"/>
  <c r="B22" i="88"/>
  <c r="Z21" i="88"/>
  <c r="X21" i="88"/>
  <c r="V21" i="88"/>
  <c r="N21" i="88"/>
  <c r="L21" i="88"/>
  <c r="J21" i="88"/>
  <c r="F21" i="88"/>
  <c r="B21" i="88"/>
  <c r="X20" i="88"/>
  <c r="Z20" i="88" s="1"/>
  <c r="V20" i="88"/>
  <c r="N20" i="88"/>
  <c r="L20" i="88"/>
  <c r="J20" i="88"/>
  <c r="B20" i="88"/>
  <c r="V19" i="88"/>
  <c r="T19" i="88"/>
  <c r="R19" i="88"/>
  <c r="P19" i="88"/>
  <c r="X19" i="88" s="1"/>
  <c r="Z19" i="88" s="1"/>
  <c r="J19" i="88"/>
  <c r="H19" i="88"/>
  <c r="N19" i="88" s="1"/>
  <c r="D19" i="88"/>
  <c r="L19" i="88" s="1"/>
  <c r="B19" i="88"/>
  <c r="T18" i="88"/>
  <c r="X18" i="88" s="1"/>
  <c r="Z18" i="88" s="1"/>
  <c r="P18" i="88"/>
  <c r="L18" i="88"/>
  <c r="J18" i="88"/>
  <c r="H18" i="88"/>
  <c r="D18" i="88"/>
  <c r="T16" i="88"/>
  <c r="R16" i="88"/>
  <c r="J16" i="88"/>
  <c r="D16" i="88"/>
  <c r="Z14" i="88"/>
  <c r="T14" i="88"/>
  <c r="X14" i="88" s="1"/>
  <c r="P14" i="88"/>
  <c r="L14" i="88"/>
  <c r="J14" i="88"/>
  <c r="H14" i="88"/>
  <c r="H16" i="88" s="1"/>
  <c r="D14" i="88"/>
  <c r="Z12" i="88"/>
  <c r="T12" i="88"/>
  <c r="P12" i="88"/>
  <c r="N12" i="88"/>
  <c r="H12" i="88"/>
  <c r="J27" i="88" s="1"/>
  <c r="D12" i="88"/>
  <c r="F34" i="88" s="1"/>
  <c r="D6" i="88"/>
  <c r="D4" i="88"/>
  <c r="X25" i="87"/>
  <c r="Z25" i="87" s="1"/>
  <c r="L25" i="87"/>
  <c r="N25" i="87" s="1"/>
  <c r="T21" i="87"/>
  <c r="Z21" i="87" s="1"/>
  <c r="P21" i="87"/>
  <c r="X21" i="87" s="1"/>
  <c r="N21" i="87"/>
  <c r="H21" i="87"/>
  <c r="L21" i="87" s="1"/>
  <c r="D21" i="87"/>
  <c r="X19" i="87"/>
  <c r="T19" i="87"/>
  <c r="Z19" i="87" s="1"/>
  <c r="P19" i="87"/>
  <c r="H19" i="87"/>
  <c r="N19" i="87" s="1"/>
  <c r="D19" i="87"/>
  <c r="L19" i="87" s="1"/>
  <c r="P17" i="87"/>
  <c r="X15" i="87"/>
  <c r="T15" i="87"/>
  <c r="Z15" i="87" s="1"/>
  <c r="P15" i="87"/>
  <c r="H15" i="87"/>
  <c r="N15" i="87" s="1"/>
  <c r="F15" i="87"/>
  <c r="D15" i="87"/>
  <c r="X13" i="87"/>
  <c r="T13" i="87"/>
  <c r="Z13" i="87" s="1"/>
  <c r="P13" i="87"/>
  <c r="P12" i="87" s="1"/>
  <c r="H13" i="87"/>
  <c r="D13" i="87"/>
  <c r="D12" i="87" s="1"/>
  <c r="B13" i="87"/>
  <c r="D6" i="87"/>
  <c r="D4" i="87"/>
  <c r="F73" i="86"/>
  <c r="Z68" i="86"/>
  <c r="X68" i="86"/>
  <c r="N68" i="86"/>
  <c r="L68" i="86"/>
  <c r="F66" i="86"/>
  <c r="T64" i="86"/>
  <c r="P64" i="86"/>
  <c r="N64" i="86"/>
  <c r="L64" i="86"/>
  <c r="H64" i="86"/>
  <c r="D64" i="86"/>
  <c r="D63" i="86" s="1"/>
  <c r="B64" i="86"/>
  <c r="P63" i="86"/>
  <c r="H63" i="86"/>
  <c r="N63" i="86" s="1"/>
  <c r="F63" i="86"/>
  <c r="X61" i="86"/>
  <c r="Z61" i="86" s="1"/>
  <c r="L61" i="86"/>
  <c r="N61" i="86" s="1"/>
  <c r="J61" i="86"/>
  <c r="B61" i="86"/>
  <c r="T60" i="86"/>
  <c r="P60" i="86"/>
  <c r="X60" i="86" s="1"/>
  <c r="Z60" i="86" s="1"/>
  <c r="H60" i="86"/>
  <c r="D60" i="86"/>
  <c r="B60" i="86"/>
  <c r="Z59" i="86"/>
  <c r="X59" i="86"/>
  <c r="N59" i="86"/>
  <c r="L59" i="86"/>
  <c r="F59" i="86"/>
  <c r="B59" i="86"/>
  <c r="Z58" i="86"/>
  <c r="X58" i="86"/>
  <c r="N58" i="86"/>
  <c r="L58" i="86"/>
  <c r="J58" i="86"/>
  <c r="F58" i="86"/>
  <c r="B58" i="86"/>
  <c r="Z57" i="86"/>
  <c r="X57" i="86"/>
  <c r="N57" i="86"/>
  <c r="L57" i="86"/>
  <c r="J57" i="86"/>
  <c r="B57" i="86"/>
  <c r="Z56" i="86"/>
  <c r="X56" i="86"/>
  <c r="N56" i="86"/>
  <c r="L56" i="86"/>
  <c r="B56" i="86"/>
  <c r="Z55" i="86"/>
  <c r="X55" i="86"/>
  <c r="N55" i="86"/>
  <c r="L55" i="86"/>
  <c r="B55" i="86"/>
  <c r="T54" i="86"/>
  <c r="Z54" i="86" s="1"/>
  <c r="P54" i="86"/>
  <c r="N54" i="86"/>
  <c r="H54" i="86"/>
  <c r="F54" i="86"/>
  <c r="D54" i="86"/>
  <c r="L54" i="86" s="1"/>
  <c r="B54" i="86"/>
  <c r="Z53" i="86"/>
  <c r="X53" i="86"/>
  <c r="N53" i="86"/>
  <c r="L53" i="86"/>
  <c r="J53" i="86"/>
  <c r="B53" i="86"/>
  <c r="Z52" i="86"/>
  <c r="T52" i="86"/>
  <c r="P52" i="86"/>
  <c r="X52" i="86" s="1"/>
  <c r="H52" i="86"/>
  <c r="N52" i="86" s="1"/>
  <c r="D52" i="86"/>
  <c r="B52" i="86"/>
  <c r="Z51" i="86"/>
  <c r="X51" i="86"/>
  <c r="N51" i="86"/>
  <c r="L51" i="86"/>
  <c r="F51" i="86"/>
  <c r="B51" i="86"/>
  <c r="T50" i="86"/>
  <c r="Z50" i="86" s="1"/>
  <c r="P50" i="86"/>
  <c r="N50" i="86"/>
  <c r="L50" i="86"/>
  <c r="H50" i="86"/>
  <c r="D50" i="86"/>
  <c r="B50" i="86"/>
  <c r="Z49" i="86"/>
  <c r="X49" i="86"/>
  <c r="N49" i="86"/>
  <c r="L49" i="86"/>
  <c r="B49" i="86"/>
  <c r="X48" i="86"/>
  <c r="Z48" i="86" s="1"/>
  <c r="N48" i="86"/>
  <c r="L48" i="86"/>
  <c r="B48" i="86"/>
  <c r="T47" i="86"/>
  <c r="X47" i="86" s="1"/>
  <c r="Z47" i="86" s="1"/>
  <c r="P47" i="86"/>
  <c r="L47" i="86"/>
  <c r="J47" i="86"/>
  <c r="H47" i="86"/>
  <c r="N47" i="86" s="1"/>
  <c r="D47" i="86"/>
  <c r="B47" i="86"/>
  <c r="Z46" i="86"/>
  <c r="X46" i="86"/>
  <c r="V46" i="86"/>
  <c r="N46" i="86"/>
  <c r="L46" i="86"/>
  <c r="B46" i="86"/>
  <c r="X45" i="86"/>
  <c r="V45" i="86"/>
  <c r="T45" i="86"/>
  <c r="Z45" i="86" s="1"/>
  <c r="P45" i="86"/>
  <c r="H45" i="86"/>
  <c r="N45" i="86" s="1"/>
  <c r="F45" i="86"/>
  <c r="D45" i="86"/>
  <c r="B45" i="86"/>
  <c r="X44" i="86"/>
  <c r="Z44" i="86" s="1"/>
  <c r="N44" i="86"/>
  <c r="L44" i="86"/>
  <c r="B44" i="86"/>
  <c r="T43" i="86"/>
  <c r="P43" i="86"/>
  <c r="H43" i="86"/>
  <c r="N43" i="86" s="1"/>
  <c r="D43" i="86"/>
  <c r="L43" i="86" s="1"/>
  <c r="B43" i="86"/>
  <c r="Z42" i="86"/>
  <c r="X42" i="86"/>
  <c r="N42" i="86"/>
  <c r="L42" i="86"/>
  <c r="J42" i="86"/>
  <c r="F42" i="86"/>
  <c r="B42" i="86"/>
  <c r="T41" i="86"/>
  <c r="Z41" i="86" s="1"/>
  <c r="P41" i="86"/>
  <c r="X41" i="86" s="1"/>
  <c r="N41" i="86"/>
  <c r="H41" i="86"/>
  <c r="L41" i="86" s="1"/>
  <c r="D41" i="86"/>
  <c r="B41" i="86"/>
  <c r="X40" i="86"/>
  <c r="Z40" i="86" s="1"/>
  <c r="L40" i="86"/>
  <c r="N40" i="86" s="1"/>
  <c r="B40" i="86"/>
  <c r="Z39" i="86"/>
  <c r="X39" i="86"/>
  <c r="N39" i="86"/>
  <c r="L39" i="86"/>
  <c r="F39" i="86"/>
  <c r="B39" i="86"/>
  <c r="T38" i="86"/>
  <c r="P38" i="86"/>
  <c r="X38" i="86" s="1"/>
  <c r="N38" i="86"/>
  <c r="L38" i="86"/>
  <c r="H38" i="86"/>
  <c r="D38" i="86"/>
  <c r="B38" i="86"/>
  <c r="Z37" i="86"/>
  <c r="X37" i="86"/>
  <c r="V37" i="86"/>
  <c r="N37" i="86"/>
  <c r="L37" i="86"/>
  <c r="B37" i="86"/>
  <c r="Z36" i="86"/>
  <c r="X36" i="86"/>
  <c r="T36" i="86"/>
  <c r="P36" i="86"/>
  <c r="J36" i="86"/>
  <c r="H36" i="86"/>
  <c r="D36" i="86"/>
  <c r="B36" i="86"/>
  <c r="Z35" i="86"/>
  <c r="X35" i="86"/>
  <c r="N35" i="86"/>
  <c r="L35" i="86"/>
  <c r="B35" i="86"/>
  <c r="T34" i="86"/>
  <c r="Z34" i="86" s="1"/>
  <c r="P34" i="86"/>
  <c r="N34" i="86"/>
  <c r="H34" i="86"/>
  <c r="F34" i="86"/>
  <c r="D34" i="86"/>
  <c r="L34" i="86" s="1"/>
  <c r="B34" i="86"/>
  <c r="Z33" i="86"/>
  <c r="X33" i="86"/>
  <c r="N33" i="86"/>
  <c r="L33" i="86"/>
  <c r="J33" i="86"/>
  <c r="B33" i="86"/>
  <c r="Z32" i="86"/>
  <c r="X32" i="86"/>
  <c r="N32" i="86"/>
  <c r="L32" i="86"/>
  <c r="B32" i="86"/>
  <c r="Z31" i="86"/>
  <c r="X31" i="86"/>
  <c r="R31" i="86"/>
  <c r="N31" i="86"/>
  <c r="L31" i="86"/>
  <c r="B31" i="86"/>
  <c r="X30" i="86"/>
  <c r="Z30" i="86" s="1"/>
  <c r="N30" i="86"/>
  <c r="L30" i="86"/>
  <c r="B30" i="86"/>
  <c r="X29" i="86"/>
  <c r="V29" i="86"/>
  <c r="T29" i="86"/>
  <c r="P29" i="86"/>
  <c r="H29" i="86"/>
  <c r="N29" i="86" s="1"/>
  <c r="F29" i="86"/>
  <c r="D29" i="86"/>
  <c r="L29" i="86" s="1"/>
  <c r="B29" i="86"/>
  <c r="Z28" i="86"/>
  <c r="X28" i="86"/>
  <c r="N28" i="86"/>
  <c r="L28" i="86"/>
  <c r="B28" i="86"/>
  <c r="Z27" i="86"/>
  <c r="X27" i="86"/>
  <c r="R27" i="86"/>
  <c r="N27" i="86"/>
  <c r="L27" i="86"/>
  <c r="B27" i="86"/>
  <c r="Z26" i="86"/>
  <c r="X26" i="86"/>
  <c r="V26" i="86"/>
  <c r="R26" i="86"/>
  <c r="N26" i="86"/>
  <c r="L26" i="86"/>
  <c r="B26" i="86"/>
  <c r="X25" i="86"/>
  <c r="Z25" i="86" s="1"/>
  <c r="N25" i="86"/>
  <c r="L25" i="86"/>
  <c r="B25" i="86"/>
  <c r="Z24" i="86"/>
  <c r="X24" i="86"/>
  <c r="N24" i="86"/>
  <c r="L24" i="86"/>
  <c r="B24" i="86"/>
  <c r="Z23" i="86"/>
  <c r="X23" i="86"/>
  <c r="N23" i="86"/>
  <c r="L23" i="86"/>
  <c r="F23" i="86"/>
  <c r="B23" i="86"/>
  <c r="Z22" i="86"/>
  <c r="X22" i="86"/>
  <c r="N22" i="86"/>
  <c r="L22" i="86"/>
  <c r="J22" i="86"/>
  <c r="F22" i="86"/>
  <c r="B22" i="86"/>
  <c r="X21" i="86"/>
  <c r="Z21" i="86" s="1"/>
  <c r="N21" i="86"/>
  <c r="L21" i="86"/>
  <c r="J21" i="86"/>
  <c r="B21" i="86"/>
  <c r="T20" i="86"/>
  <c r="R20" i="86"/>
  <c r="P20" i="86"/>
  <c r="X20" i="86" s="1"/>
  <c r="Z20" i="86" s="1"/>
  <c r="H20" i="86"/>
  <c r="N20" i="86" s="1"/>
  <c r="D20" i="86"/>
  <c r="B20" i="86"/>
  <c r="T19" i="86"/>
  <c r="P19" i="86"/>
  <c r="X19" i="86" s="1"/>
  <c r="Z19" i="86" s="1"/>
  <c r="L19" i="86"/>
  <c r="J19" i="86"/>
  <c r="H19" i="86"/>
  <c r="D19" i="86"/>
  <c r="T17" i="86"/>
  <c r="Z17" i="86" s="1"/>
  <c r="D17" i="86"/>
  <c r="Z15" i="86"/>
  <c r="X15" i="86"/>
  <c r="N15" i="86"/>
  <c r="L15" i="86"/>
  <c r="F15" i="86"/>
  <c r="B15" i="86"/>
  <c r="Z14" i="86"/>
  <c r="T14" i="86"/>
  <c r="P14" i="86"/>
  <c r="X14" i="86" s="1"/>
  <c r="N14" i="86"/>
  <c r="L14" i="86"/>
  <c r="H14" i="86"/>
  <c r="F14" i="86"/>
  <c r="D14" i="86"/>
  <c r="T12" i="86"/>
  <c r="V73" i="86" s="1"/>
  <c r="P12" i="86"/>
  <c r="R68" i="86" s="1"/>
  <c r="H12" i="86"/>
  <c r="J70" i="86" s="1"/>
  <c r="D12" i="86"/>
  <c r="F61" i="86" s="1"/>
  <c r="D6" i="86"/>
  <c r="D4" i="86"/>
  <c r="Z81" i="85"/>
  <c r="X81" i="85"/>
  <c r="N81" i="85"/>
  <c r="L81" i="85"/>
  <c r="Z77" i="85"/>
  <c r="T77" i="85"/>
  <c r="P77" i="85"/>
  <c r="H77" i="85"/>
  <c r="N77" i="85" s="1"/>
  <c r="D77" i="85"/>
  <c r="L77" i="85" s="1"/>
  <c r="B77" i="85"/>
  <c r="Z76" i="85"/>
  <c r="T76" i="85"/>
  <c r="D76" i="85"/>
  <c r="Z74" i="85"/>
  <c r="X74" i="85"/>
  <c r="N74" i="85"/>
  <c r="L74" i="85"/>
  <c r="B74" i="85"/>
  <c r="T73" i="85"/>
  <c r="P73" i="85"/>
  <c r="H73" i="85"/>
  <c r="D73" i="85"/>
  <c r="L73" i="85" s="1"/>
  <c r="N73" i="85" s="1"/>
  <c r="B73" i="85"/>
  <c r="X72" i="85"/>
  <c r="Z72" i="85" s="1"/>
  <c r="L72" i="85"/>
  <c r="N72" i="85" s="1"/>
  <c r="B72" i="85"/>
  <c r="T71" i="85"/>
  <c r="P71" i="85"/>
  <c r="X71" i="85" s="1"/>
  <c r="Z71" i="85" s="1"/>
  <c r="H71" i="85"/>
  <c r="N71" i="85" s="1"/>
  <c r="D71" i="85"/>
  <c r="L71" i="85" s="1"/>
  <c r="B71" i="85"/>
  <c r="Z70" i="85"/>
  <c r="X70" i="85"/>
  <c r="N70" i="85"/>
  <c r="L70" i="85"/>
  <c r="F70" i="85"/>
  <c r="B70" i="85"/>
  <c r="Z69" i="85"/>
  <c r="X69" i="85"/>
  <c r="L69" i="85"/>
  <c r="N69" i="85" s="1"/>
  <c r="B69" i="85"/>
  <c r="X68" i="85"/>
  <c r="Z68" i="85" s="1"/>
  <c r="L68" i="85"/>
  <c r="N68" i="85" s="1"/>
  <c r="B68" i="85"/>
  <c r="Z67" i="85"/>
  <c r="X67" i="85"/>
  <c r="L67" i="85"/>
  <c r="N67" i="85" s="1"/>
  <c r="B67" i="85"/>
  <c r="Z66" i="85"/>
  <c r="X66" i="85"/>
  <c r="N66" i="85"/>
  <c r="L66" i="85"/>
  <c r="B66" i="85"/>
  <c r="X65" i="85"/>
  <c r="Z65" i="85" s="1"/>
  <c r="V65" i="85"/>
  <c r="N65" i="85"/>
  <c r="L65" i="85"/>
  <c r="B65" i="85"/>
  <c r="X64" i="85"/>
  <c r="T64" i="85"/>
  <c r="Z64" i="85" s="1"/>
  <c r="P64" i="85"/>
  <c r="H64" i="85"/>
  <c r="D64" i="85"/>
  <c r="B64" i="85"/>
  <c r="Z63" i="85"/>
  <c r="X63" i="85"/>
  <c r="L63" i="85"/>
  <c r="N63" i="85" s="1"/>
  <c r="B63" i="85"/>
  <c r="T62" i="85"/>
  <c r="P62" i="85"/>
  <c r="X62" i="85" s="1"/>
  <c r="H62" i="85"/>
  <c r="D62" i="85"/>
  <c r="L62" i="85" s="1"/>
  <c r="B62" i="85"/>
  <c r="Z61" i="85"/>
  <c r="X61" i="85"/>
  <c r="N61" i="85"/>
  <c r="L61" i="85"/>
  <c r="B61" i="85"/>
  <c r="X60" i="85"/>
  <c r="Z60" i="85" s="1"/>
  <c r="N60" i="85"/>
  <c r="L60" i="85"/>
  <c r="B60" i="85"/>
  <c r="Z59" i="85"/>
  <c r="X59" i="85"/>
  <c r="L59" i="85"/>
  <c r="N59" i="85" s="1"/>
  <c r="B59" i="85"/>
  <c r="Z58" i="85"/>
  <c r="X58" i="85"/>
  <c r="N58" i="85"/>
  <c r="L58" i="85"/>
  <c r="B58" i="85"/>
  <c r="T57" i="85"/>
  <c r="P57" i="85"/>
  <c r="X57" i="85" s="1"/>
  <c r="H57" i="85"/>
  <c r="D57" i="85"/>
  <c r="L57" i="85" s="1"/>
  <c r="N57" i="85" s="1"/>
  <c r="B57" i="85"/>
  <c r="X56" i="85"/>
  <c r="Z56" i="85" s="1"/>
  <c r="L56" i="85"/>
  <c r="N56" i="85" s="1"/>
  <c r="B56" i="85"/>
  <c r="Z55" i="85"/>
  <c r="X55" i="85"/>
  <c r="N55" i="85"/>
  <c r="L55" i="85"/>
  <c r="B55" i="85"/>
  <c r="T54" i="85"/>
  <c r="P54" i="85"/>
  <c r="X54" i="85" s="1"/>
  <c r="H54" i="85"/>
  <c r="D54" i="85"/>
  <c r="L54" i="85" s="1"/>
  <c r="N54" i="85" s="1"/>
  <c r="B54" i="85"/>
  <c r="Z53" i="85"/>
  <c r="X53" i="85"/>
  <c r="L53" i="85"/>
  <c r="N53" i="85" s="1"/>
  <c r="F53" i="85"/>
  <c r="B53" i="85"/>
  <c r="T52" i="85"/>
  <c r="P52" i="85"/>
  <c r="X52" i="85" s="1"/>
  <c r="Z52" i="85" s="1"/>
  <c r="H52" i="85"/>
  <c r="L52" i="85" s="1"/>
  <c r="N52" i="85" s="1"/>
  <c r="D52" i="85"/>
  <c r="B52" i="85"/>
  <c r="Z51" i="85"/>
  <c r="X51" i="85"/>
  <c r="N51" i="85"/>
  <c r="L51" i="85"/>
  <c r="B51" i="85"/>
  <c r="T50" i="85"/>
  <c r="X50" i="85" s="1"/>
  <c r="Z50" i="85" s="1"/>
  <c r="P50" i="85"/>
  <c r="L50" i="85"/>
  <c r="H50" i="85"/>
  <c r="D50" i="85"/>
  <c r="B50" i="85"/>
  <c r="Z49" i="85"/>
  <c r="X49" i="85"/>
  <c r="V49" i="85"/>
  <c r="N49" i="85"/>
  <c r="L49" i="85"/>
  <c r="B49" i="85"/>
  <c r="X48" i="85"/>
  <c r="T48" i="85"/>
  <c r="Z48" i="85" s="1"/>
  <c r="P48" i="85"/>
  <c r="H48" i="85"/>
  <c r="N48" i="85" s="1"/>
  <c r="D48" i="85"/>
  <c r="B48" i="85"/>
  <c r="Z47" i="85"/>
  <c r="X47" i="85"/>
  <c r="L47" i="85"/>
  <c r="N47" i="85" s="1"/>
  <c r="B47" i="85"/>
  <c r="T46" i="85"/>
  <c r="P46" i="85"/>
  <c r="X46" i="85" s="1"/>
  <c r="H46" i="85"/>
  <c r="D46" i="85"/>
  <c r="L46" i="85" s="1"/>
  <c r="N46" i="85" s="1"/>
  <c r="B46" i="85"/>
  <c r="Z45" i="85"/>
  <c r="X45" i="85"/>
  <c r="N45" i="85"/>
  <c r="L45" i="85"/>
  <c r="B45" i="85"/>
  <c r="X44" i="85"/>
  <c r="Z44" i="85" s="1"/>
  <c r="L44" i="85"/>
  <c r="N44" i="85" s="1"/>
  <c r="B44" i="85"/>
  <c r="T43" i="85"/>
  <c r="P43" i="85"/>
  <c r="X43" i="85" s="1"/>
  <c r="Z43" i="85" s="1"/>
  <c r="N43" i="85"/>
  <c r="L43" i="85"/>
  <c r="H43" i="85"/>
  <c r="D43" i="85"/>
  <c r="B43" i="85"/>
  <c r="Z42" i="85"/>
  <c r="X42" i="85"/>
  <c r="N42" i="85"/>
  <c r="L42" i="85"/>
  <c r="B42" i="85"/>
  <c r="Z41" i="85"/>
  <c r="X41" i="85"/>
  <c r="T41" i="85"/>
  <c r="P41" i="85"/>
  <c r="L41" i="85"/>
  <c r="N41" i="85" s="1"/>
  <c r="H41" i="85"/>
  <c r="D41" i="85"/>
  <c r="B41" i="85"/>
  <c r="X40" i="85"/>
  <c r="Z40" i="85" s="1"/>
  <c r="L40" i="85"/>
  <c r="N40" i="85" s="1"/>
  <c r="B40" i="85"/>
  <c r="X39" i="85"/>
  <c r="Z39" i="85" s="1"/>
  <c r="T39" i="85"/>
  <c r="P39" i="85"/>
  <c r="H39" i="85"/>
  <c r="D39" i="85"/>
  <c r="L39" i="85" s="1"/>
  <c r="B39" i="85"/>
  <c r="Z38" i="85"/>
  <c r="X38" i="85"/>
  <c r="N38" i="85"/>
  <c r="L38" i="85"/>
  <c r="B38" i="85"/>
  <c r="T37" i="85"/>
  <c r="P37" i="85"/>
  <c r="X37" i="85" s="1"/>
  <c r="H37" i="85"/>
  <c r="D37" i="85"/>
  <c r="B37" i="85"/>
  <c r="X36" i="85"/>
  <c r="Z36" i="85" s="1"/>
  <c r="L36" i="85"/>
  <c r="N36" i="85" s="1"/>
  <c r="B36" i="85"/>
  <c r="Z35" i="85"/>
  <c r="X35" i="85"/>
  <c r="N35" i="85"/>
  <c r="L35" i="85"/>
  <c r="B35" i="85"/>
  <c r="Z34" i="85"/>
  <c r="X34" i="85"/>
  <c r="N34" i="85"/>
  <c r="L34" i="85"/>
  <c r="B34" i="85"/>
  <c r="X33" i="85"/>
  <c r="Z33" i="85" s="1"/>
  <c r="L33" i="85"/>
  <c r="N33" i="85" s="1"/>
  <c r="B33" i="85"/>
  <c r="X32" i="85"/>
  <c r="V32" i="85"/>
  <c r="T32" i="85"/>
  <c r="Z32" i="85" s="1"/>
  <c r="P32" i="85"/>
  <c r="H32" i="85"/>
  <c r="D32" i="85"/>
  <c r="B32" i="85"/>
  <c r="Z31" i="85"/>
  <c r="X31" i="85"/>
  <c r="N31" i="85"/>
  <c r="L31" i="85"/>
  <c r="B31" i="85"/>
  <c r="Z30" i="85"/>
  <c r="X30" i="85"/>
  <c r="N30" i="85"/>
  <c r="L30" i="85"/>
  <c r="B30" i="85"/>
  <c r="Z29" i="85"/>
  <c r="X29" i="85"/>
  <c r="N29" i="85"/>
  <c r="L29" i="85"/>
  <c r="B29" i="85"/>
  <c r="X28" i="85"/>
  <c r="Z28" i="85" s="1"/>
  <c r="L28" i="85"/>
  <c r="N28" i="85" s="1"/>
  <c r="B28" i="85"/>
  <c r="X27" i="85"/>
  <c r="Z27" i="85" s="1"/>
  <c r="N27" i="85"/>
  <c r="L27" i="85"/>
  <c r="B27" i="85"/>
  <c r="Z26" i="85"/>
  <c r="X26" i="85"/>
  <c r="N26" i="85"/>
  <c r="L26" i="85"/>
  <c r="B26" i="85"/>
  <c r="Z25" i="85"/>
  <c r="X25" i="85"/>
  <c r="N25" i="85"/>
  <c r="L25" i="85"/>
  <c r="B25" i="85"/>
  <c r="X24" i="85"/>
  <c r="Z24" i="85" s="1"/>
  <c r="L24" i="85"/>
  <c r="N24" i="85" s="1"/>
  <c r="B24" i="85"/>
  <c r="T23" i="85"/>
  <c r="P23" i="85"/>
  <c r="X23" i="85" s="1"/>
  <c r="Z23" i="85" s="1"/>
  <c r="N23" i="85"/>
  <c r="L23" i="85"/>
  <c r="H23" i="85"/>
  <c r="D23" i="85"/>
  <c r="B23" i="85"/>
  <c r="T22" i="85"/>
  <c r="X22" i="85" s="1"/>
  <c r="Z22" i="85" s="1"/>
  <c r="P22" i="85"/>
  <c r="L22" i="85"/>
  <c r="H22" i="85"/>
  <c r="N22" i="85" s="1"/>
  <c r="D22" i="85"/>
  <c r="Z18" i="85"/>
  <c r="X18" i="85"/>
  <c r="L18" i="85"/>
  <c r="N18" i="85" s="1"/>
  <c r="F18" i="85"/>
  <c r="B18" i="85"/>
  <c r="Z17" i="85"/>
  <c r="X17" i="85"/>
  <c r="N17" i="85"/>
  <c r="L17" i="85"/>
  <c r="F17" i="85"/>
  <c r="B17" i="85"/>
  <c r="X16" i="85"/>
  <c r="T16" i="85"/>
  <c r="Z16" i="85" s="1"/>
  <c r="P16" i="85"/>
  <c r="H16" i="85"/>
  <c r="L16" i="85" s="1"/>
  <c r="D16" i="85"/>
  <c r="X14" i="85"/>
  <c r="T14" i="85"/>
  <c r="P14" i="85"/>
  <c r="L14" i="85"/>
  <c r="N14" i="85" s="1"/>
  <c r="H14" i="85"/>
  <c r="D14" i="85"/>
  <c r="B14" i="85"/>
  <c r="X13" i="85"/>
  <c r="Z13" i="85" s="1"/>
  <c r="T13" i="85"/>
  <c r="T12" i="85" s="1"/>
  <c r="V73" i="85" s="1"/>
  <c r="P13" i="85"/>
  <c r="N13" i="85"/>
  <c r="H13" i="85"/>
  <c r="L13" i="85" s="1"/>
  <c r="D13" i="85"/>
  <c r="B13" i="85"/>
  <c r="P12" i="85"/>
  <c r="R65" i="85" s="1"/>
  <c r="D12" i="85"/>
  <c r="F57" i="85" s="1"/>
  <c r="D6" i="85"/>
  <c r="D4" i="85"/>
  <c r="X36" i="84"/>
  <c r="Z36" i="84" s="1"/>
  <c r="L36" i="84"/>
  <c r="N36" i="84" s="1"/>
  <c r="X32" i="84"/>
  <c r="T32" i="84"/>
  <c r="Z32" i="84" s="1"/>
  <c r="P32" i="84"/>
  <c r="H32" i="84"/>
  <c r="N32" i="84" s="1"/>
  <c r="D32" i="84"/>
  <c r="L32" i="84" s="1"/>
  <c r="X30" i="84"/>
  <c r="Z30" i="84" s="1"/>
  <c r="N30" i="84"/>
  <c r="L30" i="84"/>
  <c r="B30" i="84"/>
  <c r="Z29" i="84"/>
  <c r="X29" i="84"/>
  <c r="N29" i="84"/>
  <c r="L29" i="84"/>
  <c r="B29" i="84"/>
  <c r="T28" i="84"/>
  <c r="P28" i="84"/>
  <c r="X28" i="84" s="1"/>
  <c r="N28" i="84"/>
  <c r="L28" i="84"/>
  <c r="H28" i="84"/>
  <c r="D28" i="84"/>
  <c r="B28" i="84"/>
  <c r="Z27" i="84"/>
  <c r="X27" i="84"/>
  <c r="V27" i="84"/>
  <c r="N27" i="84"/>
  <c r="L27" i="84"/>
  <c r="B27" i="84"/>
  <c r="T26" i="84"/>
  <c r="P26" i="84"/>
  <c r="X26" i="84" s="1"/>
  <c r="N26" i="84"/>
  <c r="L26" i="84"/>
  <c r="H26" i="84"/>
  <c r="D26" i="84"/>
  <c r="B26" i="84"/>
  <c r="X25" i="84"/>
  <c r="Z25" i="84" s="1"/>
  <c r="V25" i="84"/>
  <c r="N25" i="84"/>
  <c r="L25" i="84"/>
  <c r="B25" i="84"/>
  <c r="X24" i="84"/>
  <c r="Z24" i="84" s="1"/>
  <c r="T24" i="84"/>
  <c r="P24" i="84"/>
  <c r="H24" i="84"/>
  <c r="D24" i="84"/>
  <c r="B24" i="84"/>
  <c r="Z23" i="84"/>
  <c r="X23" i="84"/>
  <c r="N23" i="84"/>
  <c r="L23" i="84"/>
  <c r="B23" i="84"/>
  <c r="T22" i="84"/>
  <c r="P22" i="84"/>
  <c r="X22" i="84" s="1"/>
  <c r="H22" i="84"/>
  <c r="D22" i="84"/>
  <c r="B22" i="84"/>
  <c r="Z21" i="84"/>
  <c r="X21" i="84"/>
  <c r="V21" i="84"/>
  <c r="N21" i="84"/>
  <c r="L21" i="84"/>
  <c r="B21" i="84"/>
  <c r="T20" i="84"/>
  <c r="P20" i="84"/>
  <c r="X20" i="84" s="1"/>
  <c r="N20" i="84"/>
  <c r="L20" i="84"/>
  <c r="H20" i="84"/>
  <c r="D20" i="84"/>
  <c r="B20" i="84"/>
  <c r="X19" i="84"/>
  <c r="Z19" i="84" s="1"/>
  <c r="V19" i="84"/>
  <c r="T19" i="84"/>
  <c r="P19" i="84"/>
  <c r="H19" i="84"/>
  <c r="N19" i="84" s="1"/>
  <c r="D19" i="84"/>
  <c r="L19" i="84" s="1"/>
  <c r="P17" i="84"/>
  <c r="Z15" i="84"/>
  <c r="X15" i="84"/>
  <c r="V15" i="84"/>
  <c r="T15" i="84"/>
  <c r="P15" i="84"/>
  <c r="H15" i="84"/>
  <c r="N15" i="84" s="1"/>
  <c r="F15" i="84"/>
  <c r="D15" i="84"/>
  <c r="L15" i="84" s="1"/>
  <c r="X13" i="84"/>
  <c r="Z13" i="84" s="1"/>
  <c r="T13" i="84"/>
  <c r="P13" i="84"/>
  <c r="H13" i="84"/>
  <c r="D13" i="84"/>
  <c r="D12" i="84" s="1"/>
  <c r="B13" i="84"/>
  <c r="T12" i="84"/>
  <c r="P12" i="84"/>
  <c r="D6" i="84"/>
  <c r="D4" i="84"/>
  <c r="V45" i="83"/>
  <c r="Z40" i="83"/>
  <c r="X40" i="83"/>
  <c r="V40" i="83"/>
  <c r="R40" i="83"/>
  <c r="N40" i="83"/>
  <c r="L40" i="83"/>
  <c r="V38" i="83"/>
  <c r="Z36" i="83"/>
  <c r="T36" i="83"/>
  <c r="P36" i="83"/>
  <c r="X36" i="83" s="1"/>
  <c r="N36" i="83"/>
  <c r="L36" i="83"/>
  <c r="H36" i="83"/>
  <c r="D36" i="83"/>
  <c r="X34" i="83"/>
  <c r="Z34" i="83" s="1"/>
  <c r="V34" i="83"/>
  <c r="R34" i="83"/>
  <c r="N34" i="83"/>
  <c r="L34" i="83"/>
  <c r="B34" i="83"/>
  <c r="X33" i="83"/>
  <c r="Z33" i="83" s="1"/>
  <c r="V33" i="83"/>
  <c r="T33" i="83"/>
  <c r="P33" i="83"/>
  <c r="H33" i="83"/>
  <c r="N33" i="83" s="1"/>
  <c r="F33" i="83"/>
  <c r="D33" i="83"/>
  <c r="L33" i="83" s="1"/>
  <c r="B33" i="83"/>
  <c r="Z32" i="83"/>
  <c r="X32" i="83"/>
  <c r="N32" i="83"/>
  <c r="L32" i="83"/>
  <c r="B32" i="83"/>
  <c r="T31" i="83"/>
  <c r="Z31" i="83" s="1"/>
  <c r="R31" i="83"/>
  <c r="P31" i="83"/>
  <c r="X31" i="83" s="1"/>
  <c r="N31" i="83"/>
  <c r="H31" i="83"/>
  <c r="D31" i="83"/>
  <c r="L31" i="83" s="1"/>
  <c r="B31" i="83"/>
  <c r="Z30" i="83"/>
  <c r="X30" i="83"/>
  <c r="N30" i="83"/>
  <c r="L30" i="83"/>
  <c r="B30" i="83"/>
  <c r="T29" i="83"/>
  <c r="P29" i="83"/>
  <c r="X29" i="83" s="1"/>
  <c r="Z29" i="83" s="1"/>
  <c r="N29" i="83"/>
  <c r="L29" i="83"/>
  <c r="H29" i="83"/>
  <c r="D29" i="83"/>
  <c r="B29" i="83"/>
  <c r="X28" i="83"/>
  <c r="Z28" i="83" s="1"/>
  <c r="N28" i="83"/>
  <c r="L28" i="83"/>
  <c r="B28" i="83"/>
  <c r="Z27" i="83"/>
  <c r="T27" i="83"/>
  <c r="X27" i="83" s="1"/>
  <c r="P27" i="83"/>
  <c r="L27" i="83"/>
  <c r="J27" i="83"/>
  <c r="H27" i="83"/>
  <c r="N27" i="83" s="1"/>
  <c r="D27" i="83"/>
  <c r="B27" i="83"/>
  <c r="X26" i="83"/>
  <c r="Z26" i="83" s="1"/>
  <c r="V26" i="83"/>
  <c r="R26" i="83"/>
  <c r="N26" i="83"/>
  <c r="L26" i="83"/>
  <c r="B26" i="83"/>
  <c r="X25" i="83"/>
  <c r="V25" i="83"/>
  <c r="T25" i="83"/>
  <c r="Z25" i="83" s="1"/>
  <c r="P25" i="83"/>
  <c r="H25" i="83"/>
  <c r="N25" i="83" s="1"/>
  <c r="D25" i="83"/>
  <c r="L25" i="83" s="1"/>
  <c r="B25" i="83"/>
  <c r="Z24" i="83"/>
  <c r="X24" i="83"/>
  <c r="R24" i="83"/>
  <c r="N24" i="83"/>
  <c r="L24" i="83"/>
  <c r="B24" i="83"/>
  <c r="X23" i="83"/>
  <c r="Z23" i="83" s="1"/>
  <c r="R23" i="83"/>
  <c r="N23" i="83"/>
  <c r="L23" i="83"/>
  <c r="B23" i="83"/>
  <c r="X22" i="83"/>
  <c r="Z22" i="83" s="1"/>
  <c r="V22" i="83"/>
  <c r="R22" i="83"/>
  <c r="N22" i="83"/>
  <c r="L22" i="83"/>
  <c r="B22" i="83"/>
  <c r="X21" i="83"/>
  <c r="Z21" i="83" s="1"/>
  <c r="V21" i="83"/>
  <c r="R21" i="83"/>
  <c r="N21" i="83"/>
  <c r="L21" i="83"/>
  <c r="B21" i="83"/>
  <c r="X20" i="83"/>
  <c r="Z20" i="83" s="1"/>
  <c r="N20" i="83"/>
  <c r="L20" i="83"/>
  <c r="B20" i="83"/>
  <c r="Z19" i="83"/>
  <c r="T19" i="83"/>
  <c r="X19" i="83" s="1"/>
  <c r="P19" i="83"/>
  <c r="L19" i="83"/>
  <c r="J19" i="83"/>
  <c r="H19" i="83"/>
  <c r="N19" i="83" s="1"/>
  <c r="D19" i="83"/>
  <c r="B19" i="83"/>
  <c r="V18" i="83"/>
  <c r="T18" i="83"/>
  <c r="R18" i="83"/>
  <c r="P18" i="83"/>
  <c r="H18" i="83"/>
  <c r="D18" i="83"/>
  <c r="L18" i="83" s="1"/>
  <c r="R16" i="83"/>
  <c r="P16" i="83"/>
  <c r="P38" i="83" s="1"/>
  <c r="V14" i="83"/>
  <c r="T14" i="83"/>
  <c r="R14" i="83"/>
  <c r="P14" i="83"/>
  <c r="H14" i="83"/>
  <c r="N14" i="83" s="1"/>
  <c r="D14" i="83"/>
  <c r="L14" i="83" s="1"/>
  <c r="T12" i="83"/>
  <c r="V28" i="83" s="1"/>
  <c r="P12" i="83"/>
  <c r="R45" i="83" s="1"/>
  <c r="H12" i="83"/>
  <c r="J42" i="83" s="1"/>
  <c r="D12" i="83"/>
  <c r="D6" i="83"/>
  <c r="D4" i="83"/>
  <c r="J36" i="82"/>
  <c r="Z34" i="82"/>
  <c r="X34" i="82"/>
  <c r="N34" i="82"/>
  <c r="L34" i="82"/>
  <c r="Z30" i="82"/>
  <c r="X30" i="82"/>
  <c r="T30" i="82"/>
  <c r="P30" i="82"/>
  <c r="J30" i="82"/>
  <c r="H30" i="82"/>
  <c r="D30" i="82"/>
  <c r="Z28" i="82"/>
  <c r="X28" i="82"/>
  <c r="L28" i="82"/>
  <c r="N28" i="82" s="1"/>
  <c r="B28" i="82"/>
  <c r="T27" i="82"/>
  <c r="P27" i="82"/>
  <c r="X27" i="82" s="1"/>
  <c r="H27" i="82"/>
  <c r="D27" i="82"/>
  <c r="L27" i="82" s="1"/>
  <c r="N27" i="82" s="1"/>
  <c r="B27" i="82"/>
  <c r="Z26" i="82"/>
  <c r="X26" i="82"/>
  <c r="N26" i="82"/>
  <c r="L26" i="82"/>
  <c r="J26" i="82"/>
  <c r="F26" i="82"/>
  <c r="B26" i="82"/>
  <c r="T25" i="82"/>
  <c r="P25" i="82"/>
  <c r="X25" i="82" s="1"/>
  <c r="Z25" i="82" s="1"/>
  <c r="N25" i="82"/>
  <c r="L25" i="82"/>
  <c r="H25" i="82"/>
  <c r="D25" i="82"/>
  <c r="B25" i="82"/>
  <c r="X24" i="82"/>
  <c r="Z24" i="82" s="1"/>
  <c r="N24" i="82"/>
  <c r="L24" i="82"/>
  <c r="B24" i="82"/>
  <c r="Z23" i="82"/>
  <c r="X23" i="82"/>
  <c r="T23" i="82"/>
  <c r="P23" i="82"/>
  <c r="N23" i="82"/>
  <c r="L23" i="82"/>
  <c r="J23" i="82"/>
  <c r="H23" i="82"/>
  <c r="D23" i="82"/>
  <c r="B23" i="82"/>
  <c r="X22" i="82"/>
  <c r="Z22" i="82" s="1"/>
  <c r="N22" i="82"/>
  <c r="L22" i="82"/>
  <c r="B22" i="82"/>
  <c r="X21" i="82"/>
  <c r="Z21" i="82" s="1"/>
  <c r="V21" i="82"/>
  <c r="T21" i="82"/>
  <c r="P21" i="82"/>
  <c r="H21" i="82"/>
  <c r="N21" i="82" s="1"/>
  <c r="F21" i="82"/>
  <c r="D21" i="82"/>
  <c r="L21" i="82" s="1"/>
  <c r="B21" i="82"/>
  <c r="Z20" i="82"/>
  <c r="X20" i="82"/>
  <c r="L20" i="82"/>
  <c r="N20" i="82" s="1"/>
  <c r="B20" i="82"/>
  <c r="T19" i="82"/>
  <c r="R19" i="82"/>
  <c r="P19" i="82"/>
  <c r="X19" i="82" s="1"/>
  <c r="H19" i="82"/>
  <c r="N19" i="82" s="1"/>
  <c r="F19" i="82"/>
  <c r="D19" i="82"/>
  <c r="L19" i="82" s="1"/>
  <c r="B19" i="82"/>
  <c r="T18" i="82"/>
  <c r="P18" i="82"/>
  <c r="X18" i="82" s="1"/>
  <c r="Z18" i="82" s="1"/>
  <c r="L18" i="82"/>
  <c r="N18" i="82" s="1"/>
  <c r="H18" i="82"/>
  <c r="F18" i="82"/>
  <c r="D18" i="82"/>
  <c r="T16" i="82"/>
  <c r="H16" i="82"/>
  <c r="N16" i="82" s="1"/>
  <c r="F16" i="82"/>
  <c r="D16" i="82"/>
  <c r="Z14" i="82"/>
  <c r="T14" i="82"/>
  <c r="P14" i="82"/>
  <c r="X14" i="82" s="1"/>
  <c r="N14" i="82"/>
  <c r="L14" i="82"/>
  <c r="H14" i="82"/>
  <c r="F14" i="82"/>
  <c r="D14" i="82"/>
  <c r="T12" i="82"/>
  <c r="V36" i="82" s="1"/>
  <c r="P12" i="82"/>
  <c r="N12" i="82"/>
  <c r="H12" i="82"/>
  <c r="J34" i="82" s="1"/>
  <c r="D12" i="82"/>
  <c r="F36" i="82" s="1"/>
  <c r="D6" i="82"/>
  <c r="D4" i="82"/>
  <c r="Z73" i="81"/>
  <c r="X73" i="81"/>
  <c r="N73" i="81"/>
  <c r="L73" i="81"/>
  <c r="T69" i="81"/>
  <c r="P69" i="81"/>
  <c r="N69" i="81"/>
  <c r="H69" i="81"/>
  <c r="D69" i="81"/>
  <c r="L69" i="81" s="1"/>
  <c r="B69" i="81"/>
  <c r="Z68" i="81"/>
  <c r="X68" i="81"/>
  <c r="T68" i="81"/>
  <c r="P68" i="81"/>
  <c r="L68" i="81"/>
  <c r="N68" i="81" s="1"/>
  <c r="J68" i="81"/>
  <c r="H68" i="81"/>
  <c r="D68" i="81"/>
  <c r="B68" i="81"/>
  <c r="T67" i="81"/>
  <c r="H67" i="81"/>
  <c r="N67" i="81" s="1"/>
  <c r="D67" i="81"/>
  <c r="L67" i="81" s="1"/>
  <c r="Z65" i="81"/>
  <c r="X65" i="81"/>
  <c r="L65" i="81"/>
  <c r="N65" i="81" s="1"/>
  <c r="B65" i="81"/>
  <c r="T64" i="81"/>
  <c r="P64" i="81"/>
  <c r="X64" i="81" s="1"/>
  <c r="N64" i="81"/>
  <c r="L64" i="81"/>
  <c r="H64" i="81"/>
  <c r="D64" i="81"/>
  <c r="B64" i="81"/>
  <c r="X63" i="81"/>
  <c r="Z63" i="81" s="1"/>
  <c r="N63" i="81"/>
  <c r="L63" i="81"/>
  <c r="B63" i="81"/>
  <c r="Z62" i="81"/>
  <c r="X62" i="81"/>
  <c r="T62" i="81"/>
  <c r="P62" i="81"/>
  <c r="N62" i="81"/>
  <c r="L62" i="81"/>
  <c r="J62" i="81"/>
  <c r="H62" i="81"/>
  <c r="D62" i="81"/>
  <c r="B62" i="81"/>
  <c r="X61" i="81"/>
  <c r="Z61" i="81" s="1"/>
  <c r="R61" i="81"/>
  <c r="N61" i="81"/>
  <c r="L61" i="81"/>
  <c r="B61" i="81"/>
  <c r="X60" i="81"/>
  <c r="Z60" i="81" s="1"/>
  <c r="V60" i="81"/>
  <c r="T60" i="81"/>
  <c r="P60" i="81"/>
  <c r="H60" i="81"/>
  <c r="D60" i="81"/>
  <c r="L60" i="81" s="1"/>
  <c r="B60" i="81"/>
  <c r="Z59" i="81"/>
  <c r="X59" i="81"/>
  <c r="N59" i="81"/>
  <c r="L59" i="81"/>
  <c r="B59" i="81"/>
  <c r="Z58" i="81"/>
  <c r="X58" i="81"/>
  <c r="N58" i="81"/>
  <c r="L58" i="81"/>
  <c r="B58" i="81"/>
  <c r="T57" i="81"/>
  <c r="P57" i="81"/>
  <c r="H57" i="81"/>
  <c r="N57" i="81" s="1"/>
  <c r="D57" i="81"/>
  <c r="L57" i="81" s="1"/>
  <c r="B57" i="81"/>
  <c r="Z56" i="81"/>
  <c r="X56" i="81"/>
  <c r="N56" i="81"/>
  <c r="L56" i="81"/>
  <c r="J56" i="81"/>
  <c r="B56" i="81"/>
  <c r="Z55" i="81"/>
  <c r="X55" i="81"/>
  <c r="L55" i="81"/>
  <c r="N55" i="81" s="1"/>
  <c r="B55" i="81"/>
  <c r="Z54" i="81"/>
  <c r="X54" i="81"/>
  <c r="R54" i="81"/>
  <c r="N54" i="81"/>
  <c r="L54" i="81"/>
  <c r="B54" i="81"/>
  <c r="V53" i="81"/>
  <c r="T53" i="81"/>
  <c r="P53" i="81"/>
  <c r="H53" i="81"/>
  <c r="D53" i="81"/>
  <c r="L53" i="81" s="1"/>
  <c r="B53" i="81"/>
  <c r="X52" i="81"/>
  <c r="Z52" i="81" s="1"/>
  <c r="N52" i="81"/>
  <c r="L52" i="81"/>
  <c r="J52" i="81"/>
  <c r="B52" i="81"/>
  <c r="Z51" i="81"/>
  <c r="X51" i="81"/>
  <c r="L51" i="81"/>
  <c r="N51" i="81" s="1"/>
  <c r="B51" i="81"/>
  <c r="Z50" i="81"/>
  <c r="X50" i="81"/>
  <c r="R50" i="81"/>
  <c r="N50" i="81"/>
  <c r="L50" i="81"/>
  <c r="B50" i="81"/>
  <c r="V49" i="81"/>
  <c r="T49" i="81"/>
  <c r="P49" i="81"/>
  <c r="H49" i="81"/>
  <c r="N49" i="81" s="1"/>
  <c r="D49" i="81"/>
  <c r="L49" i="81" s="1"/>
  <c r="B49" i="81"/>
  <c r="X48" i="81"/>
  <c r="Z48" i="81" s="1"/>
  <c r="L48" i="81"/>
  <c r="N48" i="81" s="1"/>
  <c r="J48" i="81"/>
  <c r="B48" i="81"/>
  <c r="T47" i="81"/>
  <c r="R47" i="81"/>
  <c r="P47" i="81"/>
  <c r="X47" i="81" s="1"/>
  <c r="H47" i="81"/>
  <c r="D47" i="81"/>
  <c r="L47" i="81" s="1"/>
  <c r="N47" i="81" s="1"/>
  <c r="B47" i="81"/>
  <c r="Z46" i="81"/>
  <c r="X46" i="81"/>
  <c r="N46" i="81"/>
  <c r="L46" i="81"/>
  <c r="B46" i="81"/>
  <c r="Z45" i="81"/>
  <c r="T45" i="81"/>
  <c r="P45" i="81"/>
  <c r="X45" i="81" s="1"/>
  <c r="N45" i="81"/>
  <c r="L45" i="81"/>
  <c r="H45" i="81"/>
  <c r="D45" i="81"/>
  <c r="B45" i="81"/>
  <c r="X44" i="81"/>
  <c r="Z44" i="81" s="1"/>
  <c r="V44" i="81"/>
  <c r="N44" i="81"/>
  <c r="L44" i="81"/>
  <c r="B44" i="81"/>
  <c r="X43" i="81"/>
  <c r="Z43" i="81" s="1"/>
  <c r="T43" i="81"/>
  <c r="P43" i="81"/>
  <c r="J43" i="81"/>
  <c r="H43" i="81"/>
  <c r="D43" i="81"/>
  <c r="B43" i="81"/>
  <c r="Z42" i="81"/>
  <c r="X42" i="81"/>
  <c r="R42" i="81"/>
  <c r="N42" i="81"/>
  <c r="L42" i="81"/>
  <c r="B42" i="81"/>
  <c r="V41" i="81"/>
  <c r="T41" i="81"/>
  <c r="P41" i="81"/>
  <c r="H41" i="81"/>
  <c r="D41" i="81"/>
  <c r="L41" i="81" s="1"/>
  <c r="B41" i="81"/>
  <c r="Z40" i="81"/>
  <c r="X40" i="81"/>
  <c r="N40" i="81"/>
  <c r="L40" i="81"/>
  <c r="J40" i="81"/>
  <c r="B40" i="81"/>
  <c r="T39" i="81"/>
  <c r="Z39" i="81" s="1"/>
  <c r="R39" i="81"/>
  <c r="P39" i="81"/>
  <c r="X39" i="81" s="1"/>
  <c r="H39" i="81"/>
  <c r="N39" i="81" s="1"/>
  <c r="D39" i="81"/>
  <c r="L39" i="81" s="1"/>
  <c r="B39" i="81"/>
  <c r="Z38" i="81"/>
  <c r="X38" i="81"/>
  <c r="N38" i="81"/>
  <c r="L38" i="81"/>
  <c r="B38" i="81"/>
  <c r="X37" i="81"/>
  <c r="Z37" i="81" s="1"/>
  <c r="L37" i="81"/>
  <c r="N37" i="81" s="1"/>
  <c r="J37" i="81"/>
  <c r="B37" i="81"/>
  <c r="T36" i="81"/>
  <c r="P36" i="81"/>
  <c r="X36" i="81" s="1"/>
  <c r="Z36" i="81" s="1"/>
  <c r="N36" i="81"/>
  <c r="L36" i="81"/>
  <c r="H36" i="81"/>
  <c r="D36" i="81"/>
  <c r="B36" i="81"/>
  <c r="X35" i="81"/>
  <c r="Z35" i="81" s="1"/>
  <c r="L35" i="81"/>
  <c r="N35" i="81" s="1"/>
  <c r="B35" i="81"/>
  <c r="Z34" i="81"/>
  <c r="X34" i="81"/>
  <c r="T34" i="81"/>
  <c r="P34" i="81"/>
  <c r="L34" i="81"/>
  <c r="N34" i="81" s="1"/>
  <c r="J34" i="81"/>
  <c r="H34" i="81"/>
  <c r="D34" i="81"/>
  <c r="B34" i="81"/>
  <c r="Z33" i="81"/>
  <c r="X33" i="81"/>
  <c r="V33" i="81"/>
  <c r="R33" i="81"/>
  <c r="N33" i="81"/>
  <c r="L33" i="81"/>
  <c r="B33" i="81"/>
  <c r="Z32" i="81"/>
  <c r="X32" i="81"/>
  <c r="V32" i="81"/>
  <c r="N32" i="81"/>
  <c r="L32" i="81"/>
  <c r="B32" i="81"/>
  <c r="Z31" i="81"/>
  <c r="X31" i="81"/>
  <c r="N31" i="81"/>
  <c r="L31" i="81"/>
  <c r="B31" i="81"/>
  <c r="Z30" i="81"/>
  <c r="X30" i="81"/>
  <c r="N30" i="81"/>
  <c r="L30" i="81"/>
  <c r="B30" i="81"/>
  <c r="Z29" i="81"/>
  <c r="X29" i="81"/>
  <c r="L29" i="81"/>
  <c r="N29" i="81" s="1"/>
  <c r="J29" i="81"/>
  <c r="B29" i="81"/>
  <c r="T28" i="81"/>
  <c r="P28" i="81"/>
  <c r="X28" i="81" s="1"/>
  <c r="Z28" i="81" s="1"/>
  <c r="N28" i="81"/>
  <c r="L28" i="81"/>
  <c r="H28" i="81"/>
  <c r="D28" i="81"/>
  <c r="B28" i="81"/>
  <c r="X27" i="81"/>
  <c r="Z27" i="81" s="1"/>
  <c r="N27" i="81"/>
  <c r="L27" i="81"/>
  <c r="B27" i="81"/>
  <c r="Z26" i="81"/>
  <c r="X26" i="81"/>
  <c r="N26" i="81"/>
  <c r="L26" i="81"/>
  <c r="B26" i="81"/>
  <c r="Z25" i="81"/>
  <c r="X25" i="81"/>
  <c r="L25" i="81"/>
  <c r="N25" i="81" s="1"/>
  <c r="J25" i="81"/>
  <c r="B25" i="81"/>
  <c r="Z24" i="81"/>
  <c r="X24" i="81"/>
  <c r="L24" i="81"/>
  <c r="N24" i="81" s="1"/>
  <c r="J24" i="81"/>
  <c r="B24" i="81"/>
  <c r="Z23" i="81"/>
  <c r="X23" i="81"/>
  <c r="L23" i="81"/>
  <c r="N23" i="81" s="1"/>
  <c r="B23" i="81"/>
  <c r="Z22" i="81"/>
  <c r="X22" i="81"/>
  <c r="R22" i="81"/>
  <c r="N22" i="81"/>
  <c r="L22" i="81"/>
  <c r="B22" i="81"/>
  <c r="X21" i="81"/>
  <c r="Z21" i="81" s="1"/>
  <c r="V21" i="81"/>
  <c r="R21" i="81"/>
  <c r="N21" i="81"/>
  <c r="L21" i="81"/>
  <c r="B21" i="81"/>
  <c r="X20" i="81"/>
  <c r="Z20" i="81" s="1"/>
  <c r="V20" i="81"/>
  <c r="N20" i="81"/>
  <c r="L20" i="81"/>
  <c r="B20" i="81"/>
  <c r="X19" i="81"/>
  <c r="Z19" i="81" s="1"/>
  <c r="T19" i="81"/>
  <c r="P19" i="81"/>
  <c r="J19" i="81"/>
  <c r="H19" i="81"/>
  <c r="D19" i="81"/>
  <c r="B19" i="81"/>
  <c r="V18" i="81"/>
  <c r="T18" i="81"/>
  <c r="Z18" i="81" s="1"/>
  <c r="R18" i="81"/>
  <c r="P18" i="81"/>
  <c r="X18" i="81" s="1"/>
  <c r="H18" i="81"/>
  <c r="D18" i="81"/>
  <c r="L18" i="81" s="1"/>
  <c r="J16" i="81"/>
  <c r="V14" i="81"/>
  <c r="T14" i="81"/>
  <c r="Z14" i="81" s="1"/>
  <c r="R14" i="81"/>
  <c r="P14" i="81"/>
  <c r="P16" i="81" s="1"/>
  <c r="H14" i="81"/>
  <c r="H16" i="81" s="1"/>
  <c r="N16" i="81" s="1"/>
  <c r="D14" i="81"/>
  <c r="L14" i="81" s="1"/>
  <c r="Z12" i="81"/>
  <c r="X12" i="81"/>
  <c r="T12" i="81"/>
  <c r="V78" i="81" s="1"/>
  <c r="P12" i="81"/>
  <c r="R67" i="81" s="1"/>
  <c r="H12" i="81"/>
  <c r="J59" i="81" s="1"/>
  <c r="D12" i="81"/>
  <c r="F25" i="81" s="1"/>
  <c r="D6" i="81"/>
  <c r="D4" i="81"/>
  <c r="V36" i="80"/>
  <c r="F36" i="80"/>
  <c r="Z34" i="80"/>
  <c r="X34" i="80"/>
  <c r="N34" i="80"/>
  <c r="L34" i="80"/>
  <c r="J34" i="80"/>
  <c r="X30" i="80"/>
  <c r="V30" i="80"/>
  <c r="T30" i="80"/>
  <c r="Z30" i="80" s="1"/>
  <c r="P30" i="80"/>
  <c r="H30" i="80"/>
  <c r="N30" i="80" s="1"/>
  <c r="F30" i="80"/>
  <c r="D30" i="80"/>
  <c r="L30" i="80" s="1"/>
  <c r="X28" i="80"/>
  <c r="Z28" i="80" s="1"/>
  <c r="L28" i="80"/>
  <c r="N28" i="80" s="1"/>
  <c r="J28" i="80"/>
  <c r="B28" i="80"/>
  <c r="T27" i="80"/>
  <c r="R27" i="80"/>
  <c r="P27" i="80"/>
  <c r="X27" i="80" s="1"/>
  <c r="H27" i="80"/>
  <c r="D27" i="80"/>
  <c r="L27" i="80" s="1"/>
  <c r="N27" i="80" s="1"/>
  <c r="B27" i="80"/>
  <c r="Z26" i="80"/>
  <c r="X26" i="80"/>
  <c r="N26" i="80"/>
  <c r="L26" i="80"/>
  <c r="F26" i="80"/>
  <c r="B26" i="80"/>
  <c r="T25" i="80"/>
  <c r="P25" i="80"/>
  <c r="X25" i="80" s="1"/>
  <c r="Z25" i="80" s="1"/>
  <c r="N25" i="80"/>
  <c r="L25" i="80"/>
  <c r="H25" i="80"/>
  <c r="D25" i="80"/>
  <c r="B25" i="80"/>
  <c r="X24" i="80"/>
  <c r="Z24" i="80" s="1"/>
  <c r="V24" i="80"/>
  <c r="N24" i="80"/>
  <c r="L24" i="80"/>
  <c r="B24" i="80"/>
  <c r="X23" i="80"/>
  <c r="Z23" i="80" s="1"/>
  <c r="T23" i="80"/>
  <c r="P23" i="80"/>
  <c r="J23" i="80"/>
  <c r="H23" i="80"/>
  <c r="D23" i="80"/>
  <c r="B23" i="80"/>
  <c r="X22" i="80"/>
  <c r="Z22" i="80" s="1"/>
  <c r="R22" i="80"/>
  <c r="N22" i="80"/>
  <c r="L22" i="80"/>
  <c r="B22" i="80"/>
  <c r="V21" i="80"/>
  <c r="T21" i="80"/>
  <c r="P21" i="80"/>
  <c r="H21" i="80"/>
  <c r="F21" i="80"/>
  <c r="D21" i="80"/>
  <c r="L21" i="80" s="1"/>
  <c r="B21" i="80"/>
  <c r="Z20" i="80"/>
  <c r="X20" i="80"/>
  <c r="N20" i="80"/>
  <c r="L20" i="80"/>
  <c r="J20" i="80"/>
  <c r="F20" i="80"/>
  <c r="B20" i="80"/>
  <c r="T19" i="80"/>
  <c r="Z19" i="80" s="1"/>
  <c r="R19" i="80"/>
  <c r="P19" i="80"/>
  <c r="X19" i="80" s="1"/>
  <c r="N19" i="80"/>
  <c r="H19" i="80"/>
  <c r="D19" i="80"/>
  <c r="L19" i="80" s="1"/>
  <c r="B19" i="80"/>
  <c r="Z18" i="80"/>
  <c r="X18" i="80"/>
  <c r="T18" i="80"/>
  <c r="P18" i="80"/>
  <c r="L18" i="80"/>
  <c r="J18" i="80"/>
  <c r="H18" i="80"/>
  <c r="D18" i="80"/>
  <c r="T16" i="80"/>
  <c r="R16" i="80"/>
  <c r="F16" i="80"/>
  <c r="D16" i="80"/>
  <c r="Z14" i="80"/>
  <c r="X14" i="80"/>
  <c r="T14" i="80"/>
  <c r="P14" i="80"/>
  <c r="L14" i="80"/>
  <c r="J14" i="80"/>
  <c r="H14" i="80"/>
  <c r="H16" i="80" s="1"/>
  <c r="D14" i="80"/>
  <c r="T12" i="80"/>
  <c r="V23" i="80" s="1"/>
  <c r="P12" i="80"/>
  <c r="N12" i="80"/>
  <c r="L12" i="80"/>
  <c r="H12" i="80"/>
  <c r="J25" i="80" s="1"/>
  <c r="D12" i="80"/>
  <c r="F34" i="80" s="1"/>
  <c r="D6" i="80"/>
  <c r="D4" i="80"/>
  <c r="Z81" i="79"/>
  <c r="X81" i="79"/>
  <c r="N81" i="79"/>
  <c r="L81" i="79"/>
  <c r="T77" i="79"/>
  <c r="Z77" i="79" s="1"/>
  <c r="P77" i="79"/>
  <c r="X77" i="79" s="1"/>
  <c r="N77" i="79"/>
  <c r="L77" i="79"/>
  <c r="H77" i="79"/>
  <c r="D77" i="79"/>
  <c r="X75" i="79"/>
  <c r="Z75" i="79" s="1"/>
  <c r="L75" i="79"/>
  <c r="N75" i="79" s="1"/>
  <c r="B75" i="79"/>
  <c r="X74" i="79"/>
  <c r="Z74" i="79" s="1"/>
  <c r="T74" i="79"/>
  <c r="P74" i="79"/>
  <c r="J74" i="79"/>
  <c r="H74" i="79"/>
  <c r="D74" i="79"/>
  <c r="B74" i="79"/>
  <c r="X73" i="79"/>
  <c r="Z73" i="79" s="1"/>
  <c r="N73" i="79"/>
  <c r="L73" i="79"/>
  <c r="B73" i="79"/>
  <c r="T72" i="79"/>
  <c r="P72" i="79"/>
  <c r="H72" i="79"/>
  <c r="D72" i="79"/>
  <c r="L72" i="79" s="1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N66" i="79"/>
  <c r="L66" i="79"/>
  <c r="B66" i="79"/>
  <c r="Z65" i="79"/>
  <c r="X65" i="79"/>
  <c r="N65" i="79"/>
  <c r="L65" i="79"/>
  <c r="B65" i="79"/>
  <c r="Z64" i="79"/>
  <c r="T64" i="79"/>
  <c r="P64" i="79"/>
  <c r="X64" i="79" s="1"/>
  <c r="N64" i="79"/>
  <c r="L64" i="79"/>
  <c r="H64" i="79"/>
  <c r="D64" i="79"/>
  <c r="B64" i="79"/>
  <c r="Z63" i="79"/>
  <c r="X63" i="79"/>
  <c r="R63" i="79"/>
  <c r="N63" i="79"/>
  <c r="L63" i="79"/>
  <c r="B63" i="79"/>
  <c r="T62" i="79"/>
  <c r="P62" i="79"/>
  <c r="N62" i="79"/>
  <c r="H62" i="79"/>
  <c r="D62" i="79"/>
  <c r="L62" i="79" s="1"/>
  <c r="B62" i="79"/>
  <c r="Z61" i="79"/>
  <c r="X61" i="79"/>
  <c r="N61" i="79"/>
  <c r="L61" i="79"/>
  <c r="J61" i="79"/>
  <c r="B61" i="79"/>
  <c r="Z60" i="79"/>
  <c r="X60" i="79"/>
  <c r="N60" i="79"/>
  <c r="L60" i="79"/>
  <c r="J60" i="79"/>
  <c r="B60" i="79"/>
  <c r="Z59" i="79"/>
  <c r="X59" i="79"/>
  <c r="L59" i="79"/>
  <c r="N59" i="79" s="1"/>
  <c r="B59" i="79"/>
  <c r="Z58" i="79"/>
  <c r="X58" i="79"/>
  <c r="R58" i="79"/>
  <c r="N58" i="79"/>
  <c r="L58" i="79"/>
  <c r="B58" i="79"/>
  <c r="T57" i="79"/>
  <c r="P57" i="79"/>
  <c r="H57" i="79"/>
  <c r="D57" i="79"/>
  <c r="L57" i="79" s="1"/>
  <c r="N57" i="79" s="1"/>
  <c r="B57" i="79"/>
  <c r="X56" i="79"/>
  <c r="Z56" i="79" s="1"/>
  <c r="N56" i="79"/>
  <c r="L56" i="79"/>
  <c r="J56" i="79"/>
  <c r="B56" i="79"/>
  <c r="Z55" i="79"/>
  <c r="X55" i="79"/>
  <c r="N55" i="79"/>
  <c r="L55" i="79"/>
  <c r="B55" i="79"/>
  <c r="T54" i="79"/>
  <c r="R54" i="79"/>
  <c r="P54" i="79"/>
  <c r="X54" i="79" s="1"/>
  <c r="N54" i="79"/>
  <c r="H54" i="79"/>
  <c r="D54" i="79"/>
  <c r="L54" i="79" s="1"/>
  <c r="B54" i="79"/>
  <c r="X53" i="79"/>
  <c r="Z53" i="79" s="1"/>
  <c r="N53" i="79"/>
  <c r="L53" i="79"/>
  <c r="J53" i="79"/>
  <c r="F53" i="79"/>
  <c r="B53" i="79"/>
  <c r="T52" i="79"/>
  <c r="P52" i="79"/>
  <c r="X52" i="79" s="1"/>
  <c r="Z52" i="79" s="1"/>
  <c r="N52" i="79"/>
  <c r="H52" i="79"/>
  <c r="L52" i="79" s="1"/>
  <c r="D52" i="79"/>
  <c r="B52" i="79"/>
  <c r="Z51" i="79"/>
  <c r="X51" i="79"/>
  <c r="N51" i="79"/>
  <c r="L51" i="79"/>
  <c r="B51" i="79"/>
  <c r="Z50" i="79"/>
  <c r="T50" i="79"/>
  <c r="X50" i="79" s="1"/>
  <c r="P50" i="79"/>
  <c r="N50" i="79"/>
  <c r="L50" i="79"/>
  <c r="J50" i="79"/>
  <c r="H50" i="79"/>
  <c r="D50" i="79"/>
  <c r="B50" i="79"/>
  <c r="X49" i="79"/>
  <c r="Z49" i="79" s="1"/>
  <c r="R49" i="79"/>
  <c r="N49" i="79"/>
  <c r="L49" i="79"/>
  <c r="B49" i="79"/>
  <c r="X48" i="79"/>
  <c r="Z48" i="79" s="1"/>
  <c r="T48" i="79"/>
  <c r="P48" i="79"/>
  <c r="H48" i="79"/>
  <c r="N48" i="79" s="1"/>
  <c r="D48" i="79"/>
  <c r="B48" i="79"/>
  <c r="Z47" i="79"/>
  <c r="X47" i="79"/>
  <c r="N47" i="79"/>
  <c r="L47" i="79"/>
  <c r="B47" i="79"/>
  <c r="T46" i="79"/>
  <c r="Z46" i="79" s="1"/>
  <c r="R46" i="79"/>
  <c r="P46" i="79"/>
  <c r="N46" i="79"/>
  <c r="H46" i="79"/>
  <c r="D46" i="79"/>
  <c r="L46" i="79" s="1"/>
  <c r="B46" i="79"/>
  <c r="X45" i="79"/>
  <c r="Z45" i="79" s="1"/>
  <c r="L45" i="79"/>
  <c r="N45" i="79" s="1"/>
  <c r="J45" i="79"/>
  <c r="B45" i="79"/>
  <c r="X44" i="79"/>
  <c r="Z44" i="79" s="1"/>
  <c r="L44" i="79"/>
  <c r="N44" i="79" s="1"/>
  <c r="J44" i="79"/>
  <c r="B44" i="79"/>
  <c r="T43" i="79"/>
  <c r="R43" i="79"/>
  <c r="P43" i="79"/>
  <c r="X43" i="79" s="1"/>
  <c r="Z43" i="79" s="1"/>
  <c r="H43" i="79"/>
  <c r="D43" i="79"/>
  <c r="L43" i="79" s="1"/>
  <c r="N43" i="79" s="1"/>
  <c r="B43" i="79"/>
  <c r="Z42" i="79"/>
  <c r="X42" i="79"/>
  <c r="N42" i="79"/>
  <c r="L42" i="79"/>
  <c r="B42" i="79"/>
  <c r="Z41" i="79"/>
  <c r="T41" i="79"/>
  <c r="P41" i="79"/>
  <c r="X41" i="79" s="1"/>
  <c r="N41" i="79"/>
  <c r="L41" i="79"/>
  <c r="H41" i="79"/>
  <c r="D41" i="79"/>
  <c r="B41" i="79"/>
  <c r="Z40" i="79"/>
  <c r="X40" i="79"/>
  <c r="N40" i="79"/>
  <c r="L40" i="79"/>
  <c r="B40" i="79"/>
  <c r="Z39" i="79"/>
  <c r="X39" i="79"/>
  <c r="T39" i="79"/>
  <c r="P39" i="79"/>
  <c r="J39" i="79"/>
  <c r="H39" i="79"/>
  <c r="D39" i="79"/>
  <c r="B39" i="79"/>
  <c r="Z38" i="79"/>
  <c r="X38" i="79"/>
  <c r="R38" i="79"/>
  <c r="N38" i="79"/>
  <c r="L38" i="79"/>
  <c r="B38" i="79"/>
  <c r="T37" i="79"/>
  <c r="P37" i="79"/>
  <c r="N37" i="79"/>
  <c r="H37" i="79"/>
  <c r="D37" i="79"/>
  <c r="L37" i="79" s="1"/>
  <c r="B37" i="79"/>
  <c r="Z36" i="79"/>
  <c r="X36" i="79"/>
  <c r="N36" i="79"/>
  <c r="L36" i="79"/>
  <c r="J36" i="79"/>
  <c r="B36" i="79"/>
  <c r="Z35" i="79"/>
  <c r="X35" i="79"/>
  <c r="N35" i="79"/>
  <c r="L35" i="79"/>
  <c r="B35" i="79"/>
  <c r="Z34" i="79"/>
  <c r="X34" i="79"/>
  <c r="R34" i="79"/>
  <c r="N34" i="79"/>
  <c r="L34" i="79"/>
  <c r="B34" i="79"/>
  <c r="Z33" i="79"/>
  <c r="X33" i="79"/>
  <c r="R33" i="79"/>
  <c r="N33" i="79"/>
  <c r="L33" i="79"/>
  <c r="B33" i="79"/>
  <c r="Z32" i="79"/>
  <c r="X32" i="79"/>
  <c r="T32" i="79"/>
  <c r="P32" i="79"/>
  <c r="H32" i="79"/>
  <c r="N32" i="79" s="1"/>
  <c r="F32" i="79"/>
  <c r="D32" i="79"/>
  <c r="L32" i="79" s="1"/>
  <c r="B32" i="79"/>
  <c r="Z31" i="79"/>
  <c r="X31" i="79"/>
  <c r="N31" i="79"/>
  <c r="L31" i="79"/>
  <c r="B31" i="79"/>
  <c r="Z30" i="79"/>
  <c r="X30" i="79"/>
  <c r="R30" i="79"/>
  <c r="N30" i="79"/>
  <c r="L30" i="79"/>
  <c r="B30" i="79"/>
  <c r="Z29" i="79"/>
  <c r="X29" i="79"/>
  <c r="R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J25" i="79"/>
  <c r="B25" i="79"/>
  <c r="Z24" i="79"/>
  <c r="X24" i="79"/>
  <c r="N24" i="79"/>
  <c r="L24" i="79"/>
  <c r="J24" i="79"/>
  <c r="B24" i="79"/>
  <c r="Z23" i="79"/>
  <c r="T23" i="79"/>
  <c r="R23" i="79"/>
  <c r="P23" i="79"/>
  <c r="X23" i="79" s="1"/>
  <c r="N23" i="79"/>
  <c r="H23" i="79"/>
  <c r="D23" i="79"/>
  <c r="L23" i="79" s="1"/>
  <c r="B23" i="79"/>
  <c r="T22" i="79"/>
  <c r="P22" i="79"/>
  <c r="X22" i="79" s="1"/>
  <c r="Z22" i="79" s="1"/>
  <c r="L22" i="79"/>
  <c r="J22" i="79"/>
  <c r="H22" i="79"/>
  <c r="N22" i="79" s="1"/>
  <c r="D22" i="79"/>
  <c r="Z18" i="79"/>
  <c r="X18" i="79"/>
  <c r="N18" i="79"/>
  <c r="L18" i="79"/>
  <c r="F18" i="79"/>
  <c r="B18" i="79"/>
  <c r="Z17" i="79"/>
  <c r="X17" i="79"/>
  <c r="N17" i="79"/>
  <c r="L17" i="79"/>
  <c r="J17" i="79"/>
  <c r="F17" i="79"/>
  <c r="B17" i="79"/>
  <c r="T16" i="79"/>
  <c r="Z16" i="79" s="1"/>
  <c r="P16" i="79"/>
  <c r="X16" i="79" s="1"/>
  <c r="N16" i="79"/>
  <c r="H16" i="79"/>
  <c r="L16" i="79" s="1"/>
  <c r="D16" i="79"/>
  <c r="T14" i="79"/>
  <c r="Z14" i="79" s="1"/>
  <c r="P14" i="79"/>
  <c r="N14" i="79"/>
  <c r="L14" i="79"/>
  <c r="H14" i="79"/>
  <c r="D14" i="79"/>
  <c r="B14" i="79"/>
  <c r="Z13" i="79"/>
  <c r="X13" i="79"/>
  <c r="T13" i="79"/>
  <c r="P13" i="79"/>
  <c r="N13" i="79"/>
  <c r="H13" i="79"/>
  <c r="D13" i="79"/>
  <c r="L13" i="79" s="1"/>
  <c r="B13" i="79"/>
  <c r="P12" i="79"/>
  <c r="R68" i="79" s="1"/>
  <c r="H12" i="79"/>
  <c r="D12" i="79"/>
  <c r="F25" i="79" s="1"/>
  <c r="D6" i="79"/>
  <c r="D4" i="79"/>
  <c r="X30" i="78"/>
  <c r="Z30" i="78" s="1"/>
  <c r="L30" i="78"/>
  <c r="N30" i="78" s="1"/>
  <c r="J30" i="78"/>
  <c r="X26" i="78"/>
  <c r="T26" i="78"/>
  <c r="Z26" i="78" s="1"/>
  <c r="P26" i="78"/>
  <c r="H26" i="78"/>
  <c r="N26" i="78" s="1"/>
  <c r="D26" i="78"/>
  <c r="L26" i="78" s="1"/>
  <c r="Z24" i="78"/>
  <c r="X24" i="78"/>
  <c r="N24" i="78"/>
  <c r="L24" i="78"/>
  <c r="J24" i="78"/>
  <c r="B24" i="78"/>
  <c r="Z23" i="78"/>
  <c r="T23" i="78"/>
  <c r="P23" i="78"/>
  <c r="X23" i="78" s="1"/>
  <c r="N23" i="78"/>
  <c r="J23" i="78"/>
  <c r="H23" i="78"/>
  <c r="D23" i="78"/>
  <c r="L23" i="78" s="1"/>
  <c r="B23" i="78"/>
  <c r="Z22" i="78"/>
  <c r="T22" i="78"/>
  <c r="X22" i="78" s="1"/>
  <c r="P22" i="78"/>
  <c r="L22" i="78"/>
  <c r="J22" i="78"/>
  <c r="H22" i="78"/>
  <c r="N22" i="78" s="1"/>
  <c r="D22" i="78"/>
  <c r="Z18" i="78"/>
  <c r="X18" i="78"/>
  <c r="N18" i="78"/>
  <c r="L18" i="78"/>
  <c r="B18" i="78"/>
  <c r="Z17" i="78"/>
  <c r="X17" i="78"/>
  <c r="N17" i="78"/>
  <c r="L17" i="78"/>
  <c r="J17" i="78"/>
  <c r="B17" i="78"/>
  <c r="T16" i="78"/>
  <c r="Z16" i="78" s="1"/>
  <c r="P16" i="78"/>
  <c r="X16" i="78" s="1"/>
  <c r="N16" i="78"/>
  <c r="H16" i="78"/>
  <c r="L16" i="78" s="1"/>
  <c r="D16" i="78"/>
  <c r="X14" i="78"/>
  <c r="T14" i="78"/>
  <c r="P14" i="78"/>
  <c r="N14" i="78"/>
  <c r="L14" i="78"/>
  <c r="H14" i="78"/>
  <c r="D14" i="78"/>
  <c r="B14" i="78"/>
  <c r="Z13" i="78"/>
  <c r="X13" i="78"/>
  <c r="T13" i="78"/>
  <c r="P13" i="78"/>
  <c r="N13" i="78"/>
  <c r="H13" i="78"/>
  <c r="D13" i="78"/>
  <c r="L13" i="78" s="1"/>
  <c r="B13" i="78"/>
  <c r="P12" i="78"/>
  <c r="H12" i="78"/>
  <c r="J35" i="78" s="1"/>
  <c r="D12" i="78"/>
  <c r="D6" i="78"/>
  <c r="D4" i="78"/>
  <c r="X104" i="77"/>
  <c r="Z104" i="77" s="1"/>
  <c r="L104" i="77"/>
  <c r="N104" i="77" s="1"/>
  <c r="X100" i="77"/>
  <c r="T100" i="77"/>
  <c r="Z100" i="77" s="1"/>
  <c r="P100" i="77"/>
  <c r="H100" i="77"/>
  <c r="N100" i="77" s="1"/>
  <c r="D100" i="77"/>
  <c r="L100" i="77" s="1"/>
  <c r="X98" i="77"/>
  <c r="Z98" i="77" s="1"/>
  <c r="L98" i="77"/>
  <c r="N98" i="77" s="1"/>
  <c r="B98" i="77"/>
  <c r="T97" i="77"/>
  <c r="P97" i="77"/>
  <c r="X97" i="77" s="1"/>
  <c r="Z97" i="77" s="1"/>
  <c r="H97" i="77"/>
  <c r="D97" i="77"/>
  <c r="L97" i="77" s="1"/>
  <c r="N97" i="77" s="1"/>
  <c r="B97" i="77"/>
  <c r="Z96" i="77"/>
  <c r="X96" i="77"/>
  <c r="L96" i="77"/>
  <c r="N96" i="77" s="1"/>
  <c r="B96" i="77"/>
  <c r="T95" i="77"/>
  <c r="P95" i="77"/>
  <c r="X95" i="77" s="1"/>
  <c r="Z95" i="77" s="1"/>
  <c r="N95" i="77"/>
  <c r="L95" i="77"/>
  <c r="H95" i="77"/>
  <c r="D95" i="77"/>
  <c r="B95" i="77"/>
  <c r="X94" i="77"/>
  <c r="Z94" i="77" s="1"/>
  <c r="L94" i="77"/>
  <c r="N94" i="77" s="1"/>
  <c r="B94" i="77"/>
  <c r="X93" i="77"/>
  <c r="Z93" i="77" s="1"/>
  <c r="T93" i="77"/>
  <c r="P93" i="77"/>
  <c r="H93" i="77"/>
  <c r="D93" i="77"/>
  <c r="B93" i="77"/>
  <c r="Z92" i="77"/>
  <c r="X92" i="77"/>
  <c r="N92" i="77"/>
  <c r="L92" i="77"/>
  <c r="B92" i="77"/>
  <c r="X91" i="77"/>
  <c r="Z91" i="77" s="1"/>
  <c r="N91" i="77"/>
  <c r="L91" i="77"/>
  <c r="B91" i="77"/>
  <c r="X90" i="77"/>
  <c r="Z90" i="77" s="1"/>
  <c r="L90" i="77"/>
  <c r="N90" i="77" s="1"/>
  <c r="B90" i="77"/>
  <c r="X89" i="77"/>
  <c r="Z89" i="77" s="1"/>
  <c r="N89" i="77"/>
  <c r="L89" i="77"/>
  <c r="B89" i="77"/>
  <c r="Z88" i="77"/>
  <c r="T88" i="77"/>
  <c r="P88" i="77"/>
  <c r="X88" i="77" s="1"/>
  <c r="L88" i="77"/>
  <c r="H88" i="77"/>
  <c r="N88" i="77" s="1"/>
  <c r="D88" i="77"/>
  <c r="B88" i="77"/>
  <c r="X87" i="77"/>
  <c r="Z87" i="77" s="1"/>
  <c r="N87" i="77"/>
  <c r="L87" i="77"/>
  <c r="B87" i="77"/>
  <c r="X86" i="77"/>
  <c r="T86" i="77"/>
  <c r="Z86" i="77" s="1"/>
  <c r="P86" i="77"/>
  <c r="H86" i="77"/>
  <c r="D86" i="77"/>
  <c r="B86" i="77"/>
  <c r="Z85" i="77"/>
  <c r="X85" i="77"/>
  <c r="N85" i="77"/>
  <c r="L85" i="77"/>
  <c r="B85" i="77"/>
  <c r="X84" i="77"/>
  <c r="Z84" i="77" s="1"/>
  <c r="N84" i="77"/>
  <c r="L84" i="77"/>
  <c r="B84" i="77"/>
  <c r="T83" i="77"/>
  <c r="P83" i="77"/>
  <c r="H83" i="77"/>
  <c r="D83" i="77"/>
  <c r="L83" i="77" s="1"/>
  <c r="N83" i="77" s="1"/>
  <c r="B83" i="77"/>
  <c r="Z82" i="77"/>
  <c r="X82" i="77"/>
  <c r="N82" i="77"/>
  <c r="L82" i="77"/>
  <c r="B82" i="77"/>
  <c r="Z81" i="77"/>
  <c r="X81" i="77"/>
  <c r="N81" i="77"/>
  <c r="L81" i="77"/>
  <c r="B81" i="77"/>
  <c r="Z80" i="77"/>
  <c r="X80" i="77"/>
  <c r="N80" i="77"/>
  <c r="L80" i="77"/>
  <c r="B80" i="77"/>
  <c r="T79" i="77"/>
  <c r="P79" i="77"/>
  <c r="N79" i="77"/>
  <c r="H79" i="77"/>
  <c r="D79" i="77"/>
  <c r="L79" i="77" s="1"/>
  <c r="B79" i="77"/>
  <c r="X78" i="77"/>
  <c r="Z78" i="77" s="1"/>
  <c r="L78" i="77"/>
  <c r="N78" i="77" s="1"/>
  <c r="B78" i="77"/>
  <c r="T77" i="77"/>
  <c r="P77" i="77"/>
  <c r="X77" i="77" s="1"/>
  <c r="Z77" i="77" s="1"/>
  <c r="N77" i="77"/>
  <c r="L77" i="77"/>
  <c r="H77" i="77"/>
  <c r="D77" i="77"/>
  <c r="B77" i="77"/>
  <c r="Z76" i="77"/>
  <c r="X76" i="77"/>
  <c r="N76" i="77"/>
  <c r="L76" i="77"/>
  <c r="B76" i="77"/>
  <c r="Z75" i="77"/>
  <c r="X75" i="77"/>
  <c r="T75" i="77"/>
  <c r="P75" i="77"/>
  <c r="N75" i="77"/>
  <c r="L75" i="77"/>
  <c r="H75" i="77"/>
  <c r="D75" i="77"/>
  <c r="B75" i="77"/>
  <c r="X74" i="77"/>
  <c r="Z74" i="77" s="1"/>
  <c r="L74" i="77"/>
  <c r="N74" i="77" s="1"/>
  <c r="B74" i="77"/>
  <c r="Z73" i="77"/>
  <c r="X73" i="77"/>
  <c r="T73" i="77"/>
  <c r="P73" i="77"/>
  <c r="H73" i="77"/>
  <c r="D73" i="77"/>
  <c r="B73" i="77"/>
  <c r="Z72" i="77"/>
  <c r="X72" i="77"/>
  <c r="N72" i="77"/>
  <c r="L72" i="77"/>
  <c r="B72" i="77"/>
  <c r="T71" i="77"/>
  <c r="P71" i="77"/>
  <c r="X71" i="77" s="1"/>
  <c r="H71" i="77"/>
  <c r="D71" i="77"/>
  <c r="L71" i="77" s="1"/>
  <c r="N71" i="77" s="1"/>
  <c r="B71" i="77"/>
  <c r="Z70" i="77"/>
  <c r="X70" i="77"/>
  <c r="L70" i="77"/>
  <c r="N70" i="77" s="1"/>
  <c r="B70" i="77"/>
  <c r="Z69" i="77"/>
  <c r="T69" i="77"/>
  <c r="P69" i="77"/>
  <c r="X69" i="77" s="1"/>
  <c r="N69" i="77"/>
  <c r="L69" i="77"/>
  <c r="H69" i="77"/>
  <c r="D69" i="77"/>
  <c r="B69" i="77"/>
  <c r="Z68" i="77"/>
  <c r="X68" i="77"/>
  <c r="N68" i="77"/>
  <c r="L68" i="77"/>
  <c r="B68" i="77"/>
  <c r="Z67" i="77"/>
  <c r="X67" i="77"/>
  <c r="T67" i="77"/>
  <c r="P67" i="77"/>
  <c r="N67" i="77"/>
  <c r="L67" i="77"/>
  <c r="H67" i="77"/>
  <c r="D67" i="77"/>
  <c r="B67" i="77"/>
  <c r="X66" i="77"/>
  <c r="Z66" i="77" s="1"/>
  <c r="L66" i="77"/>
  <c r="N66" i="77" s="1"/>
  <c r="B66" i="77"/>
  <c r="Z65" i="77"/>
  <c r="X65" i="77"/>
  <c r="T65" i="77"/>
  <c r="P65" i="77"/>
  <c r="H65" i="77"/>
  <c r="D65" i="77"/>
  <c r="B65" i="77"/>
  <c r="Z64" i="77"/>
  <c r="X64" i="77"/>
  <c r="N64" i="77"/>
  <c r="L64" i="77"/>
  <c r="B64" i="77"/>
  <c r="T63" i="77"/>
  <c r="P63" i="77"/>
  <c r="H63" i="77"/>
  <c r="D63" i="77"/>
  <c r="L63" i="77" s="1"/>
  <c r="N63" i="77" s="1"/>
  <c r="B63" i="77"/>
  <c r="X62" i="77"/>
  <c r="Z62" i="77" s="1"/>
  <c r="L62" i="77"/>
  <c r="N62" i="77" s="1"/>
  <c r="B62" i="77"/>
  <c r="Z61" i="77"/>
  <c r="X61" i="77"/>
  <c r="N61" i="77"/>
  <c r="L61" i="77"/>
  <c r="B61" i="77"/>
  <c r="Z60" i="77"/>
  <c r="X60" i="77"/>
  <c r="N60" i="77"/>
  <c r="L60" i="77"/>
  <c r="B60" i="77"/>
  <c r="X59" i="77"/>
  <c r="Z59" i="77" s="1"/>
  <c r="N59" i="77"/>
  <c r="L59" i="77"/>
  <c r="B59" i="77"/>
  <c r="X58" i="77"/>
  <c r="Z58" i="77" s="1"/>
  <c r="L58" i="77"/>
  <c r="N58" i="77" s="1"/>
  <c r="B58" i="77"/>
  <c r="X57" i="77"/>
  <c r="Z57" i="77" s="1"/>
  <c r="T57" i="77"/>
  <c r="P57" i="77"/>
  <c r="H57" i="77"/>
  <c r="D57" i="77"/>
  <c r="B57" i="77"/>
  <c r="Z56" i="77"/>
  <c r="X56" i="77"/>
  <c r="N56" i="77"/>
  <c r="L56" i="77"/>
  <c r="B56" i="77"/>
  <c r="X55" i="77"/>
  <c r="Z55" i="77" s="1"/>
  <c r="N55" i="77"/>
  <c r="L55" i="77"/>
  <c r="B55" i="77"/>
  <c r="X54" i="77"/>
  <c r="Z54" i="77" s="1"/>
  <c r="L54" i="77"/>
  <c r="N54" i="77" s="1"/>
  <c r="B54" i="77"/>
  <c r="X53" i="77"/>
  <c r="Z53" i="77" s="1"/>
  <c r="N53" i="77"/>
  <c r="L53" i="77"/>
  <c r="B53" i="77"/>
  <c r="Z52" i="77"/>
  <c r="X52" i="77"/>
  <c r="N52" i="77"/>
  <c r="L52" i="77"/>
  <c r="B52" i="77"/>
  <c r="Z51" i="77"/>
  <c r="X51" i="77"/>
  <c r="L51" i="77"/>
  <c r="N51" i="77" s="1"/>
  <c r="B51" i="77"/>
  <c r="X50" i="77"/>
  <c r="Z50" i="77" s="1"/>
  <c r="L50" i="77"/>
  <c r="N50" i="77" s="1"/>
  <c r="B50" i="77"/>
  <c r="Z49" i="77"/>
  <c r="X49" i="77"/>
  <c r="N49" i="77"/>
  <c r="L49" i="77"/>
  <c r="B49" i="77"/>
  <c r="T48" i="77"/>
  <c r="P48" i="77"/>
  <c r="X48" i="77" s="1"/>
  <c r="H48" i="77"/>
  <c r="D48" i="77"/>
  <c r="L48" i="77" s="1"/>
  <c r="N48" i="77" s="1"/>
  <c r="B48" i="77"/>
  <c r="T47" i="77"/>
  <c r="P47" i="77"/>
  <c r="X47" i="77" s="1"/>
  <c r="Z47" i="77" s="1"/>
  <c r="N47" i="77"/>
  <c r="L47" i="77"/>
  <c r="H47" i="77"/>
  <c r="D47" i="77"/>
  <c r="Z43" i="77"/>
  <c r="X43" i="77"/>
  <c r="N43" i="77"/>
  <c r="L43" i="77"/>
  <c r="B43" i="77"/>
  <c r="Z42" i="77"/>
  <c r="X42" i="77"/>
  <c r="L42" i="77"/>
  <c r="N42" i="77" s="1"/>
  <c r="B42" i="77"/>
  <c r="X41" i="77"/>
  <c r="Z41" i="77" s="1"/>
  <c r="N41" i="77"/>
  <c r="L41" i="77"/>
  <c r="B41" i="77"/>
  <c r="Z40" i="77"/>
  <c r="X40" i="77"/>
  <c r="N40" i="77"/>
  <c r="L40" i="77"/>
  <c r="B40" i="77"/>
  <c r="X39" i="77"/>
  <c r="Z39" i="77" s="1"/>
  <c r="L39" i="77"/>
  <c r="N39" i="77" s="1"/>
  <c r="B39" i="77"/>
  <c r="Z38" i="77"/>
  <c r="X38" i="77"/>
  <c r="N38" i="77"/>
  <c r="L38" i="77"/>
  <c r="B38" i="77"/>
  <c r="Z37" i="77"/>
  <c r="X37" i="77"/>
  <c r="N37" i="77"/>
  <c r="L37" i="77"/>
  <c r="B37" i="77"/>
  <c r="Z36" i="77"/>
  <c r="X36" i="77"/>
  <c r="T36" i="77"/>
  <c r="P36" i="77"/>
  <c r="L36" i="77"/>
  <c r="H36" i="77"/>
  <c r="D36" i="77"/>
  <c r="Z34" i="77"/>
  <c r="T34" i="77"/>
  <c r="P34" i="77"/>
  <c r="X34" i="77" s="1"/>
  <c r="N34" i="77"/>
  <c r="H34" i="77"/>
  <c r="L34" i="77" s="1"/>
  <c r="D34" i="77"/>
  <c r="B34" i="77"/>
  <c r="T33" i="77"/>
  <c r="P33" i="77"/>
  <c r="N33" i="77"/>
  <c r="H33" i="77"/>
  <c r="D33" i="77"/>
  <c r="L33" i="77" s="1"/>
  <c r="B33" i="77"/>
  <c r="X32" i="77"/>
  <c r="T32" i="77"/>
  <c r="P32" i="77"/>
  <c r="H32" i="77"/>
  <c r="D32" i="77"/>
  <c r="B32" i="77"/>
  <c r="X31" i="77"/>
  <c r="Z31" i="77" s="1"/>
  <c r="T31" i="77"/>
  <c r="P31" i="77"/>
  <c r="L31" i="77"/>
  <c r="N31" i="77" s="1"/>
  <c r="H31" i="77"/>
  <c r="D31" i="77"/>
  <c r="B31" i="77"/>
  <c r="T30" i="77"/>
  <c r="X30" i="77" s="1"/>
  <c r="Z30" i="77" s="1"/>
  <c r="P30" i="77"/>
  <c r="H30" i="77"/>
  <c r="D30" i="77"/>
  <c r="L30" i="77" s="1"/>
  <c r="N30" i="77" s="1"/>
  <c r="B30" i="77"/>
  <c r="T29" i="77"/>
  <c r="P29" i="77"/>
  <c r="X29" i="77" s="1"/>
  <c r="Z29" i="77" s="1"/>
  <c r="H29" i="77"/>
  <c r="N29" i="77" s="1"/>
  <c r="D29" i="77"/>
  <c r="L29" i="77" s="1"/>
  <c r="B29" i="77"/>
  <c r="T28" i="77"/>
  <c r="P28" i="77"/>
  <c r="H28" i="77"/>
  <c r="D28" i="77"/>
  <c r="B28" i="77"/>
  <c r="Z27" i="77"/>
  <c r="X27" i="77"/>
  <c r="T27" i="77"/>
  <c r="P27" i="77"/>
  <c r="N27" i="77"/>
  <c r="L27" i="77"/>
  <c r="H27" i="77"/>
  <c r="D27" i="77"/>
  <c r="B27" i="77"/>
  <c r="T26" i="77"/>
  <c r="P26" i="77"/>
  <c r="X26" i="77" s="1"/>
  <c r="Z26" i="77" s="1"/>
  <c r="N26" i="77"/>
  <c r="H26" i="77"/>
  <c r="L26" i="77" s="1"/>
  <c r="D26" i="77"/>
  <c r="B26" i="77"/>
  <c r="T25" i="77"/>
  <c r="P25" i="77"/>
  <c r="X25" i="77" s="1"/>
  <c r="H25" i="77"/>
  <c r="D25" i="77"/>
  <c r="L25" i="77" s="1"/>
  <c r="N25" i="77" s="1"/>
  <c r="B25" i="77"/>
  <c r="T24" i="77"/>
  <c r="P24" i="77"/>
  <c r="H24" i="77"/>
  <c r="N24" i="77" s="1"/>
  <c r="D24" i="77"/>
  <c r="B24" i="77"/>
  <c r="Z23" i="77"/>
  <c r="X23" i="77"/>
  <c r="T23" i="77"/>
  <c r="P23" i="77"/>
  <c r="L23" i="77"/>
  <c r="N23" i="77" s="1"/>
  <c r="H23" i="77"/>
  <c r="D23" i="77"/>
  <c r="B23" i="77"/>
  <c r="Z22" i="77"/>
  <c r="T22" i="77"/>
  <c r="X22" i="77" s="1"/>
  <c r="P22" i="77"/>
  <c r="N22" i="77"/>
  <c r="H22" i="77"/>
  <c r="D22" i="77"/>
  <c r="L22" i="77" s="1"/>
  <c r="B22" i="77"/>
  <c r="T21" i="77"/>
  <c r="P21" i="77"/>
  <c r="X21" i="77" s="1"/>
  <c r="Z21" i="77" s="1"/>
  <c r="H21" i="77"/>
  <c r="D21" i="77"/>
  <c r="B21" i="77"/>
  <c r="T20" i="77"/>
  <c r="P20" i="77"/>
  <c r="L20" i="77"/>
  <c r="H20" i="77"/>
  <c r="D20" i="77"/>
  <c r="B20" i="77"/>
  <c r="X19" i="77"/>
  <c r="Z19" i="77" s="1"/>
  <c r="T19" i="77"/>
  <c r="P19" i="77"/>
  <c r="L19" i="77"/>
  <c r="N19" i="77" s="1"/>
  <c r="H19" i="77"/>
  <c r="D19" i="77"/>
  <c r="B19" i="77"/>
  <c r="T18" i="77"/>
  <c r="P18" i="77"/>
  <c r="X18" i="77" s="1"/>
  <c r="Z18" i="77" s="1"/>
  <c r="N18" i="77"/>
  <c r="H18" i="77"/>
  <c r="L18" i="77" s="1"/>
  <c r="D18" i="77"/>
  <c r="B18" i="77"/>
  <c r="T17" i="77"/>
  <c r="P17" i="77"/>
  <c r="H17" i="77"/>
  <c r="D17" i="77"/>
  <c r="L17" i="77" s="1"/>
  <c r="N17" i="77" s="1"/>
  <c r="B17" i="77"/>
  <c r="T16" i="77"/>
  <c r="P16" i="77"/>
  <c r="H16" i="77"/>
  <c r="D16" i="77"/>
  <c r="B16" i="77"/>
  <c r="Z15" i="77"/>
  <c r="X15" i="77"/>
  <c r="T15" i="77"/>
  <c r="P15" i="77"/>
  <c r="L15" i="77"/>
  <c r="N15" i="77" s="1"/>
  <c r="H15" i="77"/>
  <c r="D15" i="77"/>
  <c r="B15" i="77"/>
  <c r="Z14" i="77"/>
  <c r="T14" i="77"/>
  <c r="X14" i="77" s="1"/>
  <c r="P14" i="77"/>
  <c r="H14" i="77"/>
  <c r="D14" i="77"/>
  <c r="L14" i="77" s="1"/>
  <c r="N14" i="77" s="1"/>
  <c r="B14" i="77"/>
  <c r="T13" i="77"/>
  <c r="P13" i="77"/>
  <c r="X13" i="77" s="1"/>
  <c r="Z13" i="77" s="1"/>
  <c r="H13" i="77"/>
  <c r="D13" i="77"/>
  <c r="B13" i="77"/>
  <c r="D6" i="77"/>
  <c r="D4" i="77"/>
  <c r="Z72" i="76"/>
  <c r="X72" i="76"/>
  <c r="N72" i="76"/>
  <c r="L72" i="76"/>
  <c r="Z68" i="76"/>
  <c r="X68" i="76"/>
  <c r="T68" i="76"/>
  <c r="P68" i="76"/>
  <c r="L68" i="76"/>
  <c r="H68" i="76"/>
  <c r="N68" i="76" s="1"/>
  <c r="D68" i="76"/>
  <c r="Z66" i="76"/>
  <c r="X66" i="76"/>
  <c r="N66" i="76"/>
  <c r="L66" i="76"/>
  <c r="B66" i="76"/>
  <c r="V65" i="76"/>
  <c r="T65" i="76"/>
  <c r="P65" i="76"/>
  <c r="H65" i="76"/>
  <c r="D65" i="76"/>
  <c r="L65" i="76" s="1"/>
  <c r="N65" i="76" s="1"/>
  <c r="B65" i="76"/>
  <c r="Z64" i="76"/>
  <c r="X64" i="76"/>
  <c r="L64" i="76"/>
  <c r="N64" i="76" s="1"/>
  <c r="B64" i="76"/>
  <c r="T63" i="76"/>
  <c r="R63" i="76"/>
  <c r="P63" i="76"/>
  <c r="X63" i="76" s="1"/>
  <c r="Z63" i="76" s="1"/>
  <c r="H63" i="76"/>
  <c r="D63" i="76"/>
  <c r="B63" i="76"/>
  <c r="Z62" i="76"/>
  <c r="X62" i="76"/>
  <c r="N62" i="76"/>
  <c r="L62" i="76"/>
  <c r="F62" i="76"/>
  <c r="B62" i="76"/>
  <c r="Z61" i="76"/>
  <c r="X61" i="76"/>
  <c r="N61" i="76"/>
  <c r="L61" i="76"/>
  <c r="F61" i="76"/>
  <c r="B61" i="76"/>
  <c r="Z60" i="76"/>
  <c r="X60" i="76"/>
  <c r="N60" i="76"/>
  <c r="L60" i="76"/>
  <c r="B60" i="76"/>
  <c r="X59" i="76"/>
  <c r="Z59" i="76" s="1"/>
  <c r="N59" i="76"/>
  <c r="L59" i="76"/>
  <c r="B59" i="76"/>
  <c r="T58" i="76"/>
  <c r="P58" i="76"/>
  <c r="N58" i="76"/>
  <c r="H58" i="76"/>
  <c r="D58" i="76"/>
  <c r="L58" i="76" s="1"/>
  <c r="B58" i="76"/>
  <c r="Z57" i="76"/>
  <c r="X57" i="76"/>
  <c r="N57" i="76"/>
  <c r="L57" i="76"/>
  <c r="F57" i="76"/>
  <c r="B57" i="76"/>
  <c r="Z56" i="76"/>
  <c r="X56" i="76"/>
  <c r="N56" i="76"/>
  <c r="L56" i="76"/>
  <c r="B56" i="76"/>
  <c r="Z55" i="76"/>
  <c r="X55" i="76"/>
  <c r="N55" i="76"/>
  <c r="L55" i="76"/>
  <c r="B55" i="76"/>
  <c r="T54" i="76"/>
  <c r="Z54" i="76" s="1"/>
  <c r="P54" i="76"/>
  <c r="N54" i="76"/>
  <c r="H54" i="76"/>
  <c r="D54" i="76"/>
  <c r="L54" i="76" s="1"/>
  <c r="B54" i="76"/>
  <c r="Z53" i="76"/>
  <c r="X53" i="76"/>
  <c r="N53" i="76"/>
  <c r="L53" i="76"/>
  <c r="J53" i="76"/>
  <c r="F53" i="76"/>
  <c r="B53" i="76"/>
  <c r="Z52" i="76"/>
  <c r="X52" i="76"/>
  <c r="N52" i="76"/>
  <c r="L52" i="76"/>
  <c r="B52" i="76"/>
  <c r="T51" i="76"/>
  <c r="P51" i="76"/>
  <c r="X51" i="76" s="1"/>
  <c r="Z51" i="76" s="1"/>
  <c r="H51" i="76"/>
  <c r="N51" i="76" s="1"/>
  <c r="D51" i="76"/>
  <c r="B51" i="76"/>
  <c r="Z50" i="76"/>
  <c r="X50" i="76"/>
  <c r="N50" i="76"/>
  <c r="L50" i="76"/>
  <c r="F50" i="76"/>
  <c r="B50" i="76"/>
  <c r="T49" i="76"/>
  <c r="P49" i="76"/>
  <c r="L49" i="76"/>
  <c r="N49" i="76" s="1"/>
  <c r="H49" i="76"/>
  <c r="D49" i="76"/>
  <c r="B49" i="76"/>
  <c r="X48" i="76"/>
  <c r="Z48" i="76" s="1"/>
  <c r="N48" i="76"/>
  <c r="L48" i="76"/>
  <c r="B48" i="76"/>
  <c r="Z47" i="76"/>
  <c r="X47" i="76"/>
  <c r="T47" i="76"/>
  <c r="P47" i="76"/>
  <c r="H47" i="76"/>
  <c r="D47" i="76"/>
  <c r="B47" i="76"/>
  <c r="Z46" i="76"/>
  <c r="X46" i="76"/>
  <c r="R46" i="76"/>
  <c r="N46" i="76"/>
  <c r="L46" i="76"/>
  <c r="B46" i="76"/>
  <c r="T45" i="76"/>
  <c r="P45" i="76"/>
  <c r="X45" i="76" s="1"/>
  <c r="N45" i="76"/>
  <c r="H45" i="76"/>
  <c r="D45" i="76"/>
  <c r="L45" i="76" s="1"/>
  <c r="B45" i="76"/>
  <c r="Z44" i="76"/>
  <c r="X44" i="76"/>
  <c r="L44" i="76"/>
  <c r="N44" i="76" s="1"/>
  <c r="B44" i="76"/>
  <c r="X43" i="76"/>
  <c r="Z43" i="76" s="1"/>
  <c r="N43" i="76"/>
  <c r="L43" i="76"/>
  <c r="B43" i="76"/>
  <c r="T42" i="76"/>
  <c r="R42" i="76"/>
  <c r="P42" i="76"/>
  <c r="H42" i="76"/>
  <c r="D42" i="76"/>
  <c r="L42" i="76" s="1"/>
  <c r="N42" i="76" s="1"/>
  <c r="B42" i="76"/>
  <c r="Z41" i="76"/>
  <c r="X41" i="76"/>
  <c r="N41" i="76"/>
  <c r="L41" i="76"/>
  <c r="F41" i="76"/>
  <c r="B41" i="76"/>
  <c r="Z40" i="76"/>
  <c r="T40" i="76"/>
  <c r="P40" i="76"/>
  <c r="X40" i="76" s="1"/>
  <c r="N40" i="76"/>
  <c r="L40" i="76"/>
  <c r="H40" i="76"/>
  <c r="D40" i="76"/>
  <c r="B40" i="76"/>
  <c r="Z39" i="76"/>
  <c r="X39" i="76"/>
  <c r="N39" i="76"/>
  <c r="L39" i="76"/>
  <c r="B39" i="76"/>
  <c r="Z38" i="76"/>
  <c r="X38" i="76"/>
  <c r="T38" i="76"/>
  <c r="P38" i="76"/>
  <c r="L38" i="76"/>
  <c r="H38" i="76"/>
  <c r="N38" i="76" s="1"/>
  <c r="D38" i="76"/>
  <c r="B38" i="76"/>
  <c r="Z37" i="76"/>
  <c r="X37" i="76"/>
  <c r="N37" i="76"/>
  <c r="L37" i="76"/>
  <c r="B37" i="76"/>
  <c r="X36" i="76"/>
  <c r="V36" i="76"/>
  <c r="T36" i="76"/>
  <c r="Z36" i="76" s="1"/>
  <c r="P36" i="76"/>
  <c r="H36" i="76"/>
  <c r="N36" i="76" s="1"/>
  <c r="D36" i="76"/>
  <c r="L36" i="76" s="1"/>
  <c r="B36" i="76"/>
  <c r="Z35" i="76"/>
  <c r="X35" i="76"/>
  <c r="N35" i="76"/>
  <c r="L35" i="76"/>
  <c r="B35" i="76"/>
  <c r="Z34" i="76"/>
  <c r="X34" i="76"/>
  <c r="R34" i="76"/>
  <c r="N34" i="76"/>
  <c r="L34" i="76"/>
  <c r="B34" i="76"/>
  <c r="X33" i="76"/>
  <c r="Z33" i="76" s="1"/>
  <c r="N33" i="76"/>
  <c r="L33" i="76"/>
  <c r="B33" i="76"/>
  <c r="X32" i="76"/>
  <c r="T32" i="76"/>
  <c r="P32" i="76"/>
  <c r="H32" i="76"/>
  <c r="N32" i="76" s="1"/>
  <c r="F32" i="76"/>
  <c r="D32" i="76"/>
  <c r="L32" i="76" s="1"/>
  <c r="B32" i="76"/>
  <c r="Z31" i="76"/>
  <c r="X31" i="76"/>
  <c r="N31" i="76"/>
  <c r="L31" i="76"/>
  <c r="B31" i="76"/>
  <c r="Z30" i="76"/>
  <c r="X30" i="76"/>
  <c r="N30" i="76"/>
  <c r="L30" i="76"/>
  <c r="B30" i="76"/>
  <c r="Z29" i="76"/>
  <c r="X29" i="76"/>
  <c r="V29" i="76"/>
  <c r="R29" i="76"/>
  <c r="N29" i="76"/>
  <c r="L29" i="76"/>
  <c r="B29" i="76"/>
  <c r="X28" i="76"/>
  <c r="Z28" i="76" s="1"/>
  <c r="N28" i="76"/>
  <c r="L28" i="76"/>
  <c r="B28" i="76"/>
  <c r="Z27" i="76"/>
  <c r="X27" i="76"/>
  <c r="N27" i="76"/>
  <c r="L27" i="76"/>
  <c r="B27" i="76"/>
  <c r="Z26" i="76"/>
  <c r="X26" i="76"/>
  <c r="N26" i="76"/>
  <c r="L26" i="76"/>
  <c r="F26" i="76"/>
  <c r="B26" i="76"/>
  <c r="Z25" i="76"/>
  <c r="X25" i="76"/>
  <c r="N25" i="76"/>
  <c r="L25" i="76"/>
  <c r="B25" i="76"/>
  <c r="X24" i="76"/>
  <c r="Z24" i="76" s="1"/>
  <c r="N24" i="76"/>
  <c r="L24" i="76"/>
  <c r="B24" i="76"/>
  <c r="T23" i="76"/>
  <c r="P23" i="76"/>
  <c r="X23" i="76" s="1"/>
  <c r="Z23" i="76" s="1"/>
  <c r="H23" i="76"/>
  <c r="N23" i="76" s="1"/>
  <c r="D23" i="76"/>
  <c r="B23" i="76"/>
  <c r="T22" i="76"/>
  <c r="P22" i="76"/>
  <c r="X22" i="76" s="1"/>
  <c r="Z22" i="76" s="1"/>
  <c r="L22" i="76"/>
  <c r="J22" i="76"/>
  <c r="H22" i="76"/>
  <c r="N22" i="76" s="1"/>
  <c r="D22" i="76"/>
  <c r="D20" i="76"/>
  <c r="Z18" i="76"/>
  <c r="X18" i="76"/>
  <c r="N18" i="76"/>
  <c r="L18" i="76"/>
  <c r="B18" i="76"/>
  <c r="Z17" i="76"/>
  <c r="X17" i="76"/>
  <c r="N17" i="76"/>
  <c r="L17" i="76"/>
  <c r="J17" i="76"/>
  <c r="F17" i="76"/>
  <c r="B17" i="76"/>
  <c r="T16" i="76"/>
  <c r="Z16" i="76" s="1"/>
  <c r="P16" i="76"/>
  <c r="X16" i="76" s="1"/>
  <c r="H16" i="76"/>
  <c r="L16" i="76" s="1"/>
  <c r="N16" i="76" s="1"/>
  <c r="D16" i="76"/>
  <c r="X14" i="76"/>
  <c r="T14" i="76"/>
  <c r="Z14" i="76" s="1"/>
  <c r="P14" i="76"/>
  <c r="L14" i="76"/>
  <c r="H14" i="76"/>
  <c r="N14" i="76" s="1"/>
  <c r="D14" i="76"/>
  <c r="B14" i="76"/>
  <c r="Z13" i="76"/>
  <c r="X13" i="76"/>
  <c r="T13" i="76"/>
  <c r="T12" i="76" s="1"/>
  <c r="V48" i="76" s="1"/>
  <c r="P13" i="76"/>
  <c r="N13" i="76"/>
  <c r="L13" i="76"/>
  <c r="H13" i="76"/>
  <c r="H12" i="76" s="1"/>
  <c r="D13" i="76"/>
  <c r="B13" i="76"/>
  <c r="Z12" i="76"/>
  <c r="P12" i="76"/>
  <c r="R58" i="76" s="1"/>
  <c r="D12" i="76"/>
  <c r="F65" i="76" s="1"/>
  <c r="D6" i="76"/>
  <c r="D4" i="76"/>
  <c r="X31" i="75"/>
  <c r="Z31" i="75" s="1"/>
  <c r="L31" i="75"/>
  <c r="N31" i="75" s="1"/>
  <c r="T27" i="75"/>
  <c r="Z27" i="75" s="1"/>
  <c r="P27" i="75"/>
  <c r="X27" i="75" s="1"/>
  <c r="H27" i="75"/>
  <c r="N27" i="75" s="1"/>
  <c r="D27" i="75"/>
  <c r="L27" i="75" s="1"/>
  <c r="X25" i="75"/>
  <c r="T25" i="75"/>
  <c r="Z25" i="75" s="1"/>
  <c r="P25" i="75"/>
  <c r="L25" i="75"/>
  <c r="H25" i="75"/>
  <c r="N25" i="75" s="1"/>
  <c r="D25" i="75"/>
  <c r="X21" i="75"/>
  <c r="Z21" i="75" s="1"/>
  <c r="N21" i="75"/>
  <c r="L21" i="75"/>
  <c r="B21" i="75"/>
  <c r="X20" i="75"/>
  <c r="Z20" i="75" s="1"/>
  <c r="N20" i="75"/>
  <c r="L20" i="75"/>
  <c r="B20" i="75"/>
  <c r="Z19" i="75"/>
  <c r="X19" i="75"/>
  <c r="N19" i="75"/>
  <c r="L19" i="75"/>
  <c r="B19" i="75"/>
  <c r="T18" i="75"/>
  <c r="P18" i="75"/>
  <c r="X18" i="75" s="1"/>
  <c r="H18" i="75"/>
  <c r="D18" i="75"/>
  <c r="L18" i="75" s="1"/>
  <c r="N18" i="75" s="1"/>
  <c r="X16" i="75"/>
  <c r="T16" i="75"/>
  <c r="P16" i="75"/>
  <c r="H16" i="75"/>
  <c r="D16" i="75"/>
  <c r="L16" i="75" s="1"/>
  <c r="N16" i="75" s="1"/>
  <c r="B16" i="75"/>
  <c r="T15" i="75"/>
  <c r="P15" i="75"/>
  <c r="H15" i="75"/>
  <c r="D15" i="75"/>
  <c r="L15" i="75" s="1"/>
  <c r="B15" i="75"/>
  <c r="X14" i="75"/>
  <c r="Z14" i="75" s="1"/>
  <c r="T14" i="75"/>
  <c r="P14" i="75"/>
  <c r="L14" i="75"/>
  <c r="H14" i="75"/>
  <c r="D14" i="75"/>
  <c r="B14" i="75"/>
  <c r="Z13" i="75"/>
  <c r="T13" i="75"/>
  <c r="X13" i="75" s="1"/>
  <c r="P13" i="75"/>
  <c r="N13" i="75"/>
  <c r="H13" i="75"/>
  <c r="D13" i="75"/>
  <c r="L13" i="75" s="1"/>
  <c r="B13" i="75"/>
  <c r="P12" i="75"/>
  <c r="H12" i="75"/>
  <c r="D12" i="75"/>
  <c r="D6" i="75"/>
  <c r="D4" i="75"/>
  <c r="V51" i="74"/>
  <c r="J48" i="74"/>
  <c r="Z46" i="74"/>
  <c r="X46" i="74"/>
  <c r="V46" i="74"/>
  <c r="N46" i="74"/>
  <c r="L46" i="74"/>
  <c r="F46" i="74"/>
  <c r="F44" i="74"/>
  <c r="Z42" i="74"/>
  <c r="X42" i="74"/>
  <c r="T42" i="74"/>
  <c r="P42" i="74"/>
  <c r="J42" i="74"/>
  <c r="H42" i="74"/>
  <c r="N42" i="74" s="1"/>
  <c r="F42" i="74"/>
  <c r="D42" i="74"/>
  <c r="X40" i="74"/>
  <c r="Z40" i="74" s="1"/>
  <c r="L40" i="74"/>
  <c r="N40" i="74" s="1"/>
  <c r="J40" i="74"/>
  <c r="F40" i="74"/>
  <c r="B40" i="74"/>
  <c r="Z39" i="74"/>
  <c r="T39" i="74"/>
  <c r="P39" i="74"/>
  <c r="X39" i="74" s="1"/>
  <c r="J39" i="74"/>
  <c r="H39" i="74"/>
  <c r="D39" i="74"/>
  <c r="L39" i="74" s="1"/>
  <c r="B39" i="74"/>
  <c r="X38" i="74"/>
  <c r="Z38" i="74" s="1"/>
  <c r="N38" i="74"/>
  <c r="L38" i="74"/>
  <c r="J38" i="74"/>
  <c r="F38" i="74"/>
  <c r="B38" i="74"/>
  <c r="T37" i="74"/>
  <c r="P37" i="74"/>
  <c r="N37" i="74"/>
  <c r="L37" i="74"/>
  <c r="J37" i="74"/>
  <c r="H37" i="74"/>
  <c r="D37" i="74"/>
  <c r="B37" i="74"/>
  <c r="X36" i="74"/>
  <c r="Z36" i="74" s="1"/>
  <c r="V36" i="74"/>
  <c r="N36" i="74"/>
  <c r="L36" i="74"/>
  <c r="B36" i="74"/>
  <c r="X35" i="74"/>
  <c r="Z35" i="74" s="1"/>
  <c r="V35" i="74"/>
  <c r="T35" i="74"/>
  <c r="P35" i="74"/>
  <c r="J35" i="74"/>
  <c r="H35" i="74"/>
  <c r="N35" i="74" s="1"/>
  <c r="F35" i="74"/>
  <c r="D35" i="74"/>
  <c r="B35" i="74"/>
  <c r="Z34" i="74"/>
  <c r="X34" i="74"/>
  <c r="N34" i="74"/>
  <c r="L34" i="74"/>
  <c r="F34" i="74"/>
  <c r="B34" i="74"/>
  <c r="X33" i="74"/>
  <c r="Z33" i="74" s="1"/>
  <c r="N33" i="74"/>
  <c r="L33" i="74"/>
  <c r="J33" i="74"/>
  <c r="F33" i="74"/>
  <c r="B33" i="74"/>
  <c r="T32" i="74"/>
  <c r="Z32" i="74" s="1"/>
  <c r="P32" i="74"/>
  <c r="X32" i="74" s="1"/>
  <c r="J32" i="74"/>
  <c r="H32" i="74"/>
  <c r="N32" i="74" s="1"/>
  <c r="D32" i="74"/>
  <c r="B32" i="74"/>
  <c r="Z31" i="74"/>
  <c r="X31" i="74"/>
  <c r="N31" i="74"/>
  <c r="L31" i="74"/>
  <c r="B31" i="74"/>
  <c r="V30" i="74"/>
  <c r="T30" i="74"/>
  <c r="Z30" i="74" s="1"/>
  <c r="P30" i="74"/>
  <c r="X30" i="74" s="1"/>
  <c r="N30" i="74"/>
  <c r="H30" i="74"/>
  <c r="F30" i="74"/>
  <c r="D30" i="74"/>
  <c r="L30" i="74" s="1"/>
  <c r="B30" i="74"/>
  <c r="Z29" i="74"/>
  <c r="X29" i="74"/>
  <c r="L29" i="74"/>
  <c r="N29" i="74" s="1"/>
  <c r="J29" i="74"/>
  <c r="F29" i="74"/>
  <c r="B29" i="74"/>
  <c r="X28" i="74"/>
  <c r="Z28" i="74" s="1"/>
  <c r="V28" i="74"/>
  <c r="T28" i="74"/>
  <c r="P28" i="74"/>
  <c r="H28" i="74"/>
  <c r="F28" i="74"/>
  <c r="D28" i="74"/>
  <c r="B28" i="74"/>
  <c r="X27" i="74"/>
  <c r="Z27" i="74" s="1"/>
  <c r="V27" i="74"/>
  <c r="N27" i="74"/>
  <c r="L27" i="74"/>
  <c r="F27" i="74"/>
  <c r="B27" i="74"/>
  <c r="T26" i="74"/>
  <c r="P26" i="74"/>
  <c r="N26" i="74"/>
  <c r="L26" i="74"/>
  <c r="J26" i="74"/>
  <c r="H26" i="74"/>
  <c r="D26" i="74"/>
  <c r="B26" i="74"/>
  <c r="X25" i="74"/>
  <c r="Z25" i="74" s="1"/>
  <c r="R25" i="74"/>
  <c r="N25" i="74"/>
  <c r="L25" i="74"/>
  <c r="B25" i="74"/>
  <c r="Z24" i="74"/>
  <c r="X24" i="74"/>
  <c r="V24" i="74"/>
  <c r="N24" i="74"/>
  <c r="L24" i="74"/>
  <c r="B24" i="74"/>
  <c r="Z23" i="74"/>
  <c r="X23" i="74"/>
  <c r="V23" i="74"/>
  <c r="N23" i="74"/>
  <c r="L23" i="74"/>
  <c r="F23" i="74"/>
  <c r="B23" i="74"/>
  <c r="X22" i="74"/>
  <c r="Z22" i="74" s="1"/>
  <c r="N22" i="74"/>
  <c r="L22" i="74"/>
  <c r="J22" i="74"/>
  <c r="F22" i="74"/>
  <c r="B22" i="74"/>
  <c r="Z21" i="74"/>
  <c r="X21" i="74"/>
  <c r="N21" i="74"/>
  <c r="L21" i="74"/>
  <c r="B21" i="74"/>
  <c r="T20" i="74"/>
  <c r="Z20" i="74" s="1"/>
  <c r="P20" i="74"/>
  <c r="X20" i="74" s="1"/>
  <c r="H20" i="74"/>
  <c r="N20" i="74" s="1"/>
  <c r="F20" i="74"/>
  <c r="D20" i="74"/>
  <c r="B20" i="74"/>
  <c r="X19" i="74"/>
  <c r="Z19" i="74" s="1"/>
  <c r="T19" i="74"/>
  <c r="P19" i="74"/>
  <c r="J19" i="74"/>
  <c r="H19" i="74"/>
  <c r="F19" i="74"/>
  <c r="D19" i="74"/>
  <c r="P17" i="74"/>
  <c r="J17" i="74"/>
  <c r="X15" i="74"/>
  <c r="Z15" i="74" s="1"/>
  <c r="N15" i="74"/>
  <c r="L15" i="74"/>
  <c r="F15" i="74"/>
  <c r="B15" i="74"/>
  <c r="T14" i="74"/>
  <c r="P14" i="74"/>
  <c r="N14" i="74"/>
  <c r="L14" i="74"/>
  <c r="H14" i="74"/>
  <c r="D14" i="74"/>
  <c r="Z12" i="74"/>
  <c r="T12" i="74"/>
  <c r="P12" i="74"/>
  <c r="R36" i="74" s="1"/>
  <c r="N12" i="74"/>
  <c r="L12" i="74"/>
  <c r="H12" i="74"/>
  <c r="J30" i="74" s="1"/>
  <c r="D12" i="74"/>
  <c r="D6" i="74"/>
  <c r="D4" i="74"/>
  <c r="X66" i="73"/>
  <c r="Z66" i="73" s="1"/>
  <c r="V66" i="73"/>
  <c r="R66" i="73"/>
  <c r="L66" i="73"/>
  <c r="N66" i="73" s="1"/>
  <c r="Z62" i="73"/>
  <c r="X62" i="73"/>
  <c r="T62" i="73"/>
  <c r="P62" i="73"/>
  <c r="H62" i="73"/>
  <c r="N62" i="73" s="1"/>
  <c r="D62" i="73"/>
  <c r="X60" i="73"/>
  <c r="Z60" i="73" s="1"/>
  <c r="V60" i="73"/>
  <c r="R60" i="73"/>
  <c r="L60" i="73"/>
  <c r="N60" i="73" s="1"/>
  <c r="B60" i="73"/>
  <c r="V59" i="73"/>
  <c r="T59" i="73"/>
  <c r="R59" i="73"/>
  <c r="P59" i="73"/>
  <c r="H59" i="73"/>
  <c r="N59" i="73" s="1"/>
  <c r="D59" i="73"/>
  <c r="L59" i="73" s="1"/>
  <c r="B59" i="73"/>
  <c r="Z58" i="73"/>
  <c r="X58" i="73"/>
  <c r="L58" i="73"/>
  <c r="N58" i="73" s="1"/>
  <c r="B58" i="73"/>
  <c r="V57" i="73"/>
  <c r="T57" i="73"/>
  <c r="R57" i="73"/>
  <c r="P57" i="73"/>
  <c r="X57" i="73" s="1"/>
  <c r="N57" i="73"/>
  <c r="H57" i="73"/>
  <c r="D57" i="73"/>
  <c r="L57" i="73" s="1"/>
  <c r="B57" i="73"/>
  <c r="X56" i="73"/>
  <c r="Z56" i="73" s="1"/>
  <c r="L56" i="73"/>
  <c r="N56" i="73" s="1"/>
  <c r="B56" i="73"/>
  <c r="Z55" i="73"/>
  <c r="X55" i="73"/>
  <c r="N55" i="73"/>
  <c r="L55" i="73"/>
  <c r="B55" i="73"/>
  <c r="Z54" i="73"/>
  <c r="X54" i="73"/>
  <c r="N54" i="73"/>
  <c r="L54" i="73"/>
  <c r="B54" i="73"/>
  <c r="X53" i="73"/>
  <c r="Z53" i="73" s="1"/>
  <c r="V53" i="73"/>
  <c r="N53" i="73"/>
  <c r="L53" i="73"/>
  <c r="B53" i="73"/>
  <c r="Z52" i="73"/>
  <c r="X52" i="73"/>
  <c r="V52" i="73"/>
  <c r="R52" i="73"/>
  <c r="N52" i="73"/>
  <c r="L52" i="73"/>
  <c r="B52" i="73"/>
  <c r="V51" i="73"/>
  <c r="T51" i="73"/>
  <c r="R51" i="73"/>
  <c r="P51" i="73"/>
  <c r="H51" i="73"/>
  <c r="D51" i="73"/>
  <c r="L51" i="73" s="1"/>
  <c r="B51" i="73"/>
  <c r="Z50" i="73"/>
  <c r="X50" i="73"/>
  <c r="N50" i="73"/>
  <c r="L50" i="73"/>
  <c r="B50" i="73"/>
  <c r="X49" i="73"/>
  <c r="Z49" i="73" s="1"/>
  <c r="V49" i="73"/>
  <c r="N49" i="73"/>
  <c r="L49" i="73"/>
  <c r="B49" i="73"/>
  <c r="T48" i="73"/>
  <c r="P48" i="73"/>
  <c r="X48" i="73" s="1"/>
  <c r="H48" i="73"/>
  <c r="N48" i="73" s="1"/>
  <c r="D48" i="73"/>
  <c r="L48" i="73" s="1"/>
  <c r="B48" i="73"/>
  <c r="Z47" i="73"/>
  <c r="X47" i="73"/>
  <c r="N47" i="73"/>
  <c r="L47" i="73"/>
  <c r="B47" i="73"/>
  <c r="T46" i="73"/>
  <c r="P46" i="73"/>
  <c r="X46" i="73" s="1"/>
  <c r="L46" i="73"/>
  <c r="N46" i="73" s="1"/>
  <c r="H46" i="73"/>
  <c r="D46" i="73"/>
  <c r="B46" i="73"/>
  <c r="Z45" i="73"/>
  <c r="X45" i="73"/>
  <c r="V45" i="73"/>
  <c r="N45" i="73"/>
  <c r="L45" i="73"/>
  <c r="B45" i="73"/>
  <c r="X44" i="73"/>
  <c r="Z44" i="73" s="1"/>
  <c r="N44" i="73"/>
  <c r="L44" i="73"/>
  <c r="B44" i="73"/>
  <c r="T43" i="73"/>
  <c r="P43" i="73"/>
  <c r="X43" i="73" s="1"/>
  <c r="Z43" i="73" s="1"/>
  <c r="N43" i="73"/>
  <c r="L43" i="73"/>
  <c r="H43" i="73"/>
  <c r="D43" i="73"/>
  <c r="B43" i="73"/>
  <c r="X42" i="73"/>
  <c r="Z42" i="73" s="1"/>
  <c r="V42" i="73"/>
  <c r="R42" i="73"/>
  <c r="N42" i="73"/>
  <c r="L42" i="73"/>
  <c r="B42" i="73"/>
  <c r="Z41" i="73"/>
  <c r="X41" i="73"/>
  <c r="V41" i="73"/>
  <c r="T41" i="73"/>
  <c r="P41" i="73"/>
  <c r="H41" i="73"/>
  <c r="N41" i="73" s="1"/>
  <c r="D41" i="73"/>
  <c r="B41" i="73"/>
  <c r="X40" i="73"/>
  <c r="Z40" i="73" s="1"/>
  <c r="V40" i="73"/>
  <c r="R40" i="73"/>
  <c r="L40" i="73"/>
  <c r="N40" i="73" s="1"/>
  <c r="B40" i="73"/>
  <c r="V39" i="73"/>
  <c r="T39" i="73"/>
  <c r="R39" i="73"/>
  <c r="P39" i="73"/>
  <c r="H39" i="73"/>
  <c r="N39" i="73" s="1"/>
  <c r="D39" i="73"/>
  <c r="L39" i="73" s="1"/>
  <c r="B39" i="73"/>
  <c r="Z38" i="73"/>
  <c r="X38" i="73"/>
  <c r="L38" i="73"/>
  <c r="N38" i="73" s="1"/>
  <c r="B38" i="73"/>
  <c r="V37" i="73"/>
  <c r="T37" i="73"/>
  <c r="R37" i="73"/>
  <c r="P37" i="73"/>
  <c r="X37" i="73" s="1"/>
  <c r="N37" i="73"/>
  <c r="H37" i="73"/>
  <c r="D37" i="73"/>
  <c r="L37" i="73" s="1"/>
  <c r="B37" i="73"/>
  <c r="X36" i="73"/>
  <c r="Z36" i="73" s="1"/>
  <c r="N36" i="73"/>
  <c r="L36" i="73"/>
  <c r="B36" i="73"/>
  <c r="Z35" i="73"/>
  <c r="T35" i="73"/>
  <c r="P35" i="73"/>
  <c r="X35" i="73" s="1"/>
  <c r="N35" i="73"/>
  <c r="L35" i="73"/>
  <c r="H35" i="73"/>
  <c r="D35" i="73"/>
  <c r="B35" i="73"/>
  <c r="Z34" i="73"/>
  <c r="X34" i="73"/>
  <c r="V34" i="73"/>
  <c r="R34" i="73"/>
  <c r="N34" i="73"/>
  <c r="L34" i="73"/>
  <c r="B34" i="73"/>
  <c r="Z33" i="73"/>
  <c r="X33" i="73"/>
  <c r="V33" i="73"/>
  <c r="L33" i="73"/>
  <c r="N33" i="73" s="1"/>
  <c r="B33" i="73"/>
  <c r="X32" i="73"/>
  <c r="Z32" i="73" s="1"/>
  <c r="L32" i="73"/>
  <c r="N32" i="73" s="1"/>
  <c r="B32" i="73"/>
  <c r="Z31" i="73"/>
  <c r="T31" i="73"/>
  <c r="P31" i="73"/>
  <c r="X31" i="73" s="1"/>
  <c r="N31" i="73"/>
  <c r="L31" i="73"/>
  <c r="H31" i="73"/>
  <c r="D31" i="73"/>
  <c r="B31" i="73"/>
  <c r="X30" i="73"/>
  <c r="Z30" i="73" s="1"/>
  <c r="V30" i="73"/>
  <c r="R30" i="73"/>
  <c r="N30" i="73"/>
  <c r="L30" i="73"/>
  <c r="B30" i="73"/>
  <c r="Z29" i="73"/>
  <c r="X29" i="73"/>
  <c r="V29" i="73"/>
  <c r="L29" i="73"/>
  <c r="N29" i="73" s="1"/>
  <c r="B29" i="73"/>
  <c r="X28" i="73"/>
  <c r="Z28" i="73" s="1"/>
  <c r="L28" i="73"/>
  <c r="N28" i="73" s="1"/>
  <c r="B28" i="73"/>
  <c r="Z27" i="73"/>
  <c r="X27" i="73"/>
  <c r="N27" i="73"/>
  <c r="L27" i="73"/>
  <c r="B27" i="73"/>
  <c r="Z26" i="73"/>
  <c r="X26" i="73"/>
  <c r="L26" i="73"/>
  <c r="N26" i="73" s="1"/>
  <c r="B26" i="73"/>
  <c r="X25" i="73"/>
  <c r="Z25" i="73" s="1"/>
  <c r="V25" i="73"/>
  <c r="N25" i="73"/>
  <c r="L25" i="73"/>
  <c r="B25" i="73"/>
  <c r="X24" i="73"/>
  <c r="Z24" i="73" s="1"/>
  <c r="V24" i="73"/>
  <c r="R24" i="73"/>
  <c r="L24" i="73"/>
  <c r="N24" i="73" s="1"/>
  <c r="B24" i="73"/>
  <c r="Z23" i="73"/>
  <c r="X23" i="73"/>
  <c r="V23" i="73"/>
  <c r="R23" i="73"/>
  <c r="N23" i="73"/>
  <c r="L23" i="73"/>
  <c r="B23" i="73"/>
  <c r="T22" i="73"/>
  <c r="P22" i="73"/>
  <c r="H22" i="73"/>
  <c r="D22" i="73"/>
  <c r="L22" i="73" s="1"/>
  <c r="B22" i="73"/>
  <c r="V21" i="73"/>
  <c r="T21" i="73"/>
  <c r="R21" i="73"/>
  <c r="P21" i="73"/>
  <c r="X21" i="73" s="1"/>
  <c r="H21" i="73"/>
  <c r="D21" i="73"/>
  <c r="L21" i="73" s="1"/>
  <c r="N21" i="73" s="1"/>
  <c r="X17" i="73"/>
  <c r="Z17" i="73" s="1"/>
  <c r="V17" i="73"/>
  <c r="L17" i="73"/>
  <c r="N17" i="73" s="1"/>
  <c r="B17" i="73"/>
  <c r="T16" i="73"/>
  <c r="R16" i="73"/>
  <c r="P16" i="73"/>
  <c r="H16" i="73"/>
  <c r="N16" i="73" s="1"/>
  <c r="D16" i="73"/>
  <c r="L16" i="73" s="1"/>
  <c r="X14" i="73"/>
  <c r="Z14" i="73" s="1"/>
  <c r="T14" i="73"/>
  <c r="P14" i="73"/>
  <c r="H14" i="73"/>
  <c r="N14" i="73" s="1"/>
  <c r="D14" i="73"/>
  <c r="L14" i="73" s="1"/>
  <c r="B14" i="73"/>
  <c r="T13" i="73"/>
  <c r="P13" i="73"/>
  <c r="X13" i="73" s="1"/>
  <c r="Z13" i="73" s="1"/>
  <c r="H13" i="73"/>
  <c r="N13" i="73" s="1"/>
  <c r="D13" i="73"/>
  <c r="L13" i="73" s="1"/>
  <c r="B13" i="73"/>
  <c r="T12" i="73"/>
  <c r="V62" i="73" s="1"/>
  <c r="P12" i="73"/>
  <c r="R71" i="73" s="1"/>
  <c r="D6" i="73"/>
  <c r="D4" i="73"/>
  <c r="X97" i="71"/>
  <c r="Z97" i="71" s="1"/>
  <c r="N97" i="71"/>
  <c r="L97" i="71"/>
  <c r="T93" i="71"/>
  <c r="P93" i="71"/>
  <c r="X93" i="71" s="1"/>
  <c r="Z93" i="71" s="1"/>
  <c r="H93" i="71"/>
  <c r="D93" i="71"/>
  <c r="B93" i="71"/>
  <c r="T92" i="71"/>
  <c r="X92" i="71" s="1"/>
  <c r="P92" i="71"/>
  <c r="H92" i="71"/>
  <c r="N92" i="71" s="1"/>
  <c r="D92" i="71"/>
  <c r="L92" i="71" s="1"/>
  <c r="B92" i="71"/>
  <c r="T91" i="71"/>
  <c r="P91" i="71"/>
  <c r="L91" i="71"/>
  <c r="N91" i="71" s="1"/>
  <c r="H91" i="71"/>
  <c r="D91" i="71"/>
  <c r="D90" i="71" s="1"/>
  <c r="B91" i="71"/>
  <c r="X88" i="71"/>
  <c r="Z88" i="71" s="1"/>
  <c r="L88" i="71"/>
  <c r="N88" i="71" s="1"/>
  <c r="B88" i="71"/>
  <c r="T87" i="71"/>
  <c r="P87" i="71"/>
  <c r="H87" i="71"/>
  <c r="D87" i="71"/>
  <c r="L87" i="71" s="1"/>
  <c r="B87" i="71"/>
  <c r="Z86" i="71"/>
  <c r="X86" i="71"/>
  <c r="N86" i="71"/>
  <c r="L86" i="71"/>
  <c r="B86" i="71"/>
  <c r="T85" i="71"/>
  <c r="P85" i="71"/>
  <c r="X85" i="71" s="1"/>
  <c r="L85" i="71"/>
  <c r="N85" i="71" s="1"/>
  <c r="H85" i="71"/>
  <c r="D85" i="71"/>
  <c r="B85" i="71"/>
  <c r="Z84" i="71"/>
  <c r="X84" i="71"/>
  <c r="N84" i="71"/>
  <c r="L84" i="71"/>
  <c r="B84" i="71"/>
  <c r="X83" i="71"/>
  <c r="Z83" i="71" s="1"/>
  <c r="L83" i="71"/>
  <c r="N83" i="71" s="1"/>
  <c r="B83" i="71"/>
  <c r="Z82" i="71"/>
  <c r="X82" i="71"/>
  <c r="N82" i="71"/>
  <c r="L82" i="71"/>
  <c r="B82" i="71"/>
  <c r="T81" i="71"/>
  <c r="P81" i="71"/>
  <c r="X81" i="71" s="1"/>
  <c r="H81" i="71"/>
  <c r="D81" i="71"/>
  <c r="L81" i="71" s="1"/>
  <c r="N81" i="71" s="1"/>
  <c r="B81" i="71"/>
  <c r="Z80" i="71"/>
  <c r="X80" i="71"/>
  <c r="L80" i="71"/>
  <c r="N80" i="71" s="1"/>
  <c r="B80" i="71"/>
  <c r="T79" i="71"/>
  <c r="P79" i="71"/>
  <c r="X79" i="71" s="1"/>
  <c r="Z79" i="71" s="1"/>
  <c r="L79" i="71"/>
  <c r="H79" i="71"/>
  <c r="D79" i="71"/>
  <c r="B79" i="71"/>
  <c r="Z78" i="71"/>
  <c r="X78" i="71"/>
  <c r="N78" i="71"/>
  <c r="L78" i="71"/>
  <c r="B78" i="71"/>
  <c r="T77" i="71"/>
  <c r="P77" i="71"/>
  <c r="L77" i="71"/>
  <c r="H77" i="71"/>
  <c r="N77" i="71" s="1"/>
  <c r="D77" i="71"/>
  <c r="B77" i="71"/>
  <c r="X76" i="71"/>
  <c r="Z76" i="71" s="1"/>
  <c r="N76" i="71"/>
  <c r="L76" i="71"/>
  <c r="B76" i="71"/>
  <c r="X75" i="71"/>
  <c r="Z75" i="71" s="1"/>
  <c r="L75" i="71"/>
  <c r="N75" i="71" s="1"/>
  <c r="B75" i="71"/>
  <c r="Z74" i="71"/>
  <c r="T74" i="71"/>
  <c r="X74" i="71" s="1"/>
  <c r="P74" i="71"/>
  <c r="H74" i="71"/>
  <c r="N74" i="71" s="1"/>
  <c r="D74" i="71"/>
  <c r="L74" i="71" s="1"/>
  <c r="B74" i="71"/>
  <c r="Z73" i="71"/>
  <c r="X73" i="71"/>
  <c r="N73" i="71"/>
  <c r="L73" i="71"/>
  <c r="B73" i="71"/>
  <c r="T72" i="71"/>
  <c r="Z72" i="71" s="1"/>
  <c r="P72" i="71"/>
  <c r="X72" i="71" s="1"/>
  <c r="N72" i="71"/>
  <c r="H72" i="71"/>
  <c r="D72" i="71"/>
  <c r="L72" i="71" s="1"/>
  <c r="B72" i="71"/>
  <c r="X71" i="71"/>
  <c r="Z71" i="71" s="1"/>
  <c r="L71" i="71"/>
  <c r="N71" i="71" s="1"/>
  <c r="B71" i="71"/>
  <c r="Z70" i="71"/>
  <c r="T70" i="71"/>
  <c r="P70" i="71"/>
  <c r="X70" i="71" s="1"/>
  <c r="L70" i="71"/>
  <c r="N70" i="71" s="1"/>
  <c r="H70" i="71"/>
  <c r="D70" i="71"/>
  <c r="B70" i="71"/>
  <c r="X69" i="71"/>
  <c r="Z69" i="71" s="1"/>
  <c r="N69" i="71"/>
  <c r="L69" i="71"/>
  <c r="B69" i="71"/>
  <c r="X68" i="71"/>
  <c r="Z68" i="71" s="1"/>
  <c r="T68" i="71"/>
  <c r="P68" i="71"/>
  <c r="N68" i="71"/>
  <c r="H68" i="71"/>
  <c r="L68" i="71" s="1"/>
  <c r="D68" i="71"/>
  <c r="B68" i="71"/>
  <c r="Z67" i="71"/>
  <c r="X67" i="71"/>
  <c r="N67" i="71"/>
  <c r="L67" i="71"/>
  <c r="B67" i="71"/>
  <c r="Z66" i="71"/>
  <c r="X66" i="71"/>
  <c r="N66" i="71"/>
  <c r="L66" i="71"/>
  <c r="B66" i="71"/>
  <c r="Z65" i="71"/>
  <c r="X65" i="71"/>
  <c r="N65" i="71"/>
  <c r="L65" i="71"/>
  <c r="B65" i="71"/>
  <c r="X64" i="71"/>
  <c r="Z64" i="71" s="1"/>
  <c r="L64" i="71"/>
  <c r="N64" i="71" s="1"/>
  <c r="F64" i="71"/>
  <c r="B64" i="71"/>
  <c r="Z63" i="71"/>
  <c r="X63" i="71"/>
  <c r="L63" i="71"/>
  <c r="N63" i="71" s="1"/>
  <c r="B63" i="71"/>
  <c r="Z62" i="71"/>
  <c r="T62" i="71"/>
  <c r="P62" i="71"/>
  <c r="X62" i="71" s="1"/>
  <c r="L62" i="71"/>
  <c r="N62" i="71" s="1"/>
  <c r="H62" i="71"/>
  <c r="D62" i="71"/>
  <c r="B62" i="71"/>
  <c r="Z61" i="71"/>
  <c r="X61" i="71"/>
  <c r="N61" i="71"/>
  <c r="L61" i="71"/>
  <c r="B61" i="71"/>
  <c r="Z60" i="71"/>
  <c r="X60" i="71"/>
  <c r="L60" i="71"/>
  <c r="N60" i="71" s="1"/>
  <c r="B60" i="71"/>
  <c r="X59" i="71"/>
  <c r="Z59" i="71" s="1"/>
  <c r="L59" i="71"/>
  <c r="N59" i="71" s="1"/>
  <c r="B59" i="71"/>
  <c r="Z58" i="71"/>
  <c r="X58" i="71"/>
  <c r="L58" i="71"/>
  <c r="N58" i="71" s="1"/>
  <c r="B58" i="71"/>
  <c r="Z57" i="71"/>
  <c r="X57" i="71"/>
  <c r="L57" i="71"/>
  <c r="N57" i="71" s="1"/>
  <c r="B57" i="71"/>
  <c r="X56" i="71"/>
  <c r="Z56" i="71" s="1"/>
  <c r="L56" i="71"/>
  <c r="N56" i="71" s="1"/>
  <c r="B56" i="71"/>
  <c r="X55" i="71"/>
  <c r="Z55" i="71" s="1"/>
  <c r="N55" i="71"/>
  <c r="L55" i="71"/>
  <c r="B55" i="71"/>
  <c r="X54" i="71"/>
  <c r="Z54" i="71" s="1"/>
  <c r="N54" i="71"/>
  <c r="L54" i="71"/>
  <c r="B54" i="71"/>
  <c r="Z53" i="71"/>
  <c r="X53" i="71"/>
  <c r="L53" i="71"/>
  <c r="N53" i="71" s="1"/>
  <c r="B53" i="71"/>
  <c r="X52" i="71"/>
  <c r="Z52" i="71" s="1"/>
  <c r="T52" i="71"/>
  <c r="P52" i="71"/>
  <c r="H52" i="71"/>
  <c r="D52" i="71"/>
  <c r="B52" i="71"/>
  <c r="T51" i="71"/>
  <c r="P51" i="71"/>
  <c r="X51" i="71" s="1"/>
  <c r="H51" i="71"/>
  <c r="D51" i="71"/>
  <c r="X47" i="71"/>
  <c r="Z47" i="71" s="1"/>
  <c r="N47" i="71"/>
  <c r="L47" i="71"/>
  <c r="B47" i="71"/>
  <c r="Z46" i="71"/>
  <c r="X46" i="71"/>
  <c r="N46" i="71"/>
  <c r="L46" i="71"/>
  <c r="B46" i="71"/>
  <c r="X45" i="71"/>
  <c r="Z45" i="71" s="1"/>
  <c r="L45" i="71"/>
  <c r="N45" i="71" s="1"/>
  <c r="B45" i="71"/>
  <c r="Z44" i="71"/>
  <c r="X44" i="71"/>
  <c r="N44" i="71"/>
  <c r="L44" i="71"/>
  <c r="B44" i="71"/>
  <c r="Z43" i="71"/>
  <c r="X43" i="71"/>
  <c r="L43" i="71"/>
  <c r="N43" i="71" s="1"/>
  <c r="B43" i="71"/>
  <c r="Z42" i="71"/>
  <c r="X42" i="71"/>
  <c r="N42" i="71"/>
  <c r="L42" i="71"/>
  <c r="B42" i="71"/>
  <c r="X41" i="71"/>
  <c r="Z41" i="71" s="1"/>
  <c r="L41" i="71"/>
  <c r="N41" i="71" s="1"/>
  <c r="B41" i="71"/>
  <c r="X40" i="71"/>
  <c r="Z40" i="71" s="1"/>
  <c r="L40" i="71"/>
  <c r="N40" i="71" s="1"/>
  <c r="B40" i="71"/>
  <c r="X39" i="71"/>
  <c r="Z39" i="71" s="1"/>
  <c r="L39" i="71"/>
  <c r="N39" i="71" s="1"/>
  <c r="B39" i="71"/>
  <c r="X38" i="71"/>
  <c r="Z38" i="71" s="1"/>
  <c r="N38" i="71"/>
  <c r="L38" i="71"/>
  <c r="B38" i="71"/>
  <c r="Z37" i="71"/>
  <c r="X37" i="71"/>
  <c r="L37" i="71"/>
  <c r="N37" i="71" s="1"/>
  <c r="B37" i="71"/>
  <c r="Z36" i="71"/>
  <c r="X36" i="71"/>
  <c r="N36" i="71"/>
  <c r="L36" i="71"/>
  <c r="B36" i="71"/>
  <c r="X35" i="71"/>
  <c r="Z35" i="71" s="1"/>
  <c r="T35" i="71"/>
  <c r="P35" i="71"/>
  <c r="H35" i="71"/>
  <c r="D35" i="71"/>
  <c r="T33" i="71"/>
  <c r="Z33" i="71" s="1"/>
  <c r="P33" i="71"/>
  <c r="X33" i="71" s="1"/>
  <c r="N33" i="71"/>
  <c r="L33" i="71"/>
  <c r="H33" i="71"/>
  <c r="D33" i="71"/>
  <c r="B33" i="71"/>
  <c r="Z32" i="71"/>
  <c r="T32" i="71"/>
  <c r="X32" i="71" s="1"/>
  <c r="P32" i="71"/>
  <c r="N32" i="71"/>
  <c r="H32" i="71"/>
  <c r="D32" i="71"/>
  <c r="L32" i="71" s="1"/>
  <c r="B32" i="71"/>
  <c r="Z31" i="71"/>
  <c r="T31" i="71"/>
  <c r="X31" i="71" s="1"/>
  <c r="P31" i="71"/>
  <c r="H31" i="71"/>
  <c r="N31" i="71" s="1"/>
  <c r="D31" i="71"/>
  <c r="L31" i="71" s="1"/>
  <c r="B31" i="71"/>
  <c r="X30" i="71"/>
  <c r="T30" i="71"/>
  <c r="Z30" i="71" s="1"/>
  <c r="P30" i="71"/>
  <c r="H30" i="71"/>
  <c r="D30" i="71"/>
  <c r="L30" i="71" s="1"/>
  <c r="B30" i="71"/>
  <c r="X29" i="71"/>
  <c r="Z29" i="71" s="1"/>
  <c r="T29" i="71"/>
  <c r="P29" i="71"/>
  <c r="L29" i="71"/>
  <c r="H29" i="71"/>
  <c r="N29" i="71" s="1"/>
  <c r="D29" i="71"/>
  <c r="B29" i="71"/>
  <c r="T28" i="71"/>
  <c r="P28" i="71"/>
  <c r="X28" i="71" s="1"/>
  <c r="Z28" i="71" s="1"/>
  <c r="L28" i="71"/>
  <c r="N28" i="71" s="1"/>
  <c r="H28" i="71"/>
  <c r="D28" i="71"/>
  <c r="B28" i="71"/>
  <c r="T27" i="71"/>
  <c r="P27" i="71"/>
  <c r="X27" i="71" s="1"/>
  <c r="H27" i="71"/>
  <c r="D27" i="71"/>
  <c r="B27" i="71"/>
  <c r="T26" i="71"/>
  <c r="P26" i="71"/>
  <c r="X26" i="71" s="1"/>
  <c r="L26" i="71"/>
  <c r="H26" i="71"/>
  <c r="D26" i="71"/>
  <c r="B26" i="71"/>
  <c r="T25" i="71"/>
  <c r="Z25" i="71" s="1"/>
  <c r="P25" i="71"/>
  <c r="X25" i="71" s="1"/>
  <c r="N25" i="71"/>
  <c r="L25" i="71"/>
  <c r="H25" i="71"/>
  <c r="D25" i="71"/>
  <c r="B25" i="71"/>
  <c r="T24" i="71"/>
  <c r="Z24" i="71" s="1"/>
  <c r="P24" i="71"/>
  <c r="X24" i="71" s="1"/>
  <c r="H24" i="71"/>
  <c r="D24" i="71"/>
  <c r="L24" i="71" s="1"/>
  <c r="N24" i="71" s="1"/>
  <c r="B24" i="71"/>
  <c r="T23" i="71"/>
  <c r="P23" i="71"/>
  <c r="X23" i="71" s="1"/>
  <c r="H23" i="71"/>
  <c r="N23" i="71" s="1"/>
  <c r="D23" i="71"/>
  <c r="L23" i="71" s="1"/>
  <c r="B23" i="71"/>
  <c r="T22" i="71"/>
  <c r="P22" i="71"/>
  <c r="H22" i="71"/>
  <c r="D22" i="71"/>
  <c r="L22" i="71" s="1"/>
  <c r="B22" i="71"/>
  <c r="Z21" i="71"/>
  <c r="X21" i="71"/>
  <c r="T21" i="71"/>
  <c r="P21" i="71"/>
  <c r="H21" i="71"/>
  <c r="D21" i="71"/>
  <c r="L21" i="71" s="1"/>
  <c r="B21" i="71"/>
  <c r="Z20" i="71"/>
  <c r="T20" i="71"/>
  <c r="P20" i="71"/>
  <c r="X20" i="71" s="1"/>
  <c r="H20" i="71"/>
  <c r="D20" i="71"/>
  <c r="L20" i="71" s="1"/>
  <c r="B20" i="71"/>
  <c r="T19" i="71"/>
  <c r="Z19" i="71" s="1"/>
  <c r="P19" i="71"/>
  <c r="X19" i="71" s="1"/>
  <c r="H19" i="71"/>
  <c r="N19" i="71" s="1"/>
  <c r="D19" i="71"/>
  <c r="L19" i="71" s="1"/>
  <c r="B19" i="71"/>
  <c r="T18" i="71"/>
  <c r="P18" i="71"/>
  <c r="X18" i="71" s="1"/>
  <c r="H18" i="71"/>
  <c r="D18" i="71"/>
  <c r="B18" i="71"/>
  <c r="T17" i="71"/>
  <c r="P17" i="71"/>
  <c r="X17" i="71" s="1"/>
  <c r="L17" i="71"/>
  <c r="N17" i="71" s="1"/>
  <c r="H17" i="71"/>
  <c r="D17" i="71"/>
  <c r="B17" i="71"/>
  <c r="T16" i="71"/>
  <c r="X16" i="71" s="1"/>
  <c r="P16" i="71"/>
  <c r="H16" i="71"/>
  <c r="D16" i="71"/>
  <c r="L16" i="71" s="1"/>
  <c r="N16" i="71" s="1"/>
  <c r="B16" i="71"/>
  <c r="Z15" i="71"/>
  <c r="T15" i="71"/>
  <c r="X15" i="71" s="1"/>
  <c r="P15" i="71"/>
  <c r="H15" i="71"/>
  <c r="D15" i="71"/>
  <c r="L15" i="71" s="1"/>
  <c r="B15" i="71"/>
  <c r="X14" i="71"/>
  <c r="T14" i="71"/>
  <c r="P14" i="71"/>
  <c r="H14" i="71"/>
  <c r="D14" i="71"/>
  <c r="L14" i="71" s="1"/>
  <c r="B14" i="71"/>
  <c r="X13" i="71"/>
  <c r="Z13" i="71" s="1"/>
  <c r="T13" i="71"/>
  <c r="P13" i="71"/>
  <c r="L13" i="71"/>
  <c r="H13" i="71"/>
  <c r="D13" i="71"/>
  <c r="B13" i="71"/>
  <c r="D12" i="71"/>
  <c r="D6" i="71"/>
  <c r="D4" i="71"/>
  <c r="X78" i="70"/>
  <c r="Z78" i="70" s="1"/>
  <c r="L78" i="70"/>
  <c r="N78" i="70" s="1"/>
  <c r="X74" i="70"/>
  <c r="Z74" i="70" s="1"/>
  <c r="T74" i="70"/>
  <c r="P74" i="70"/>
  <c r="H74" i="70"/>
  <c r="D74" i="70"/>
  <c r="B74" i="70"/>
  <c r="T73" i="70"/>
  <c r="P73" i="70"/>
  <c r="X73" i="70" s="1"/>
  <c r="H73" i="70"/>
  <c r="D73" i="70"/>
  <c r="Z71" i="70"/>
  <c r="X71" i="70"/>
  <c r="N71" i="70"/>
  <c r="L71" i="70"/>
  <c r="B71" i="70"/>
  <c r="T70" i="70"/>
  <c r="P70" i="70"/>
  <c r="X70" i="70" s="1"/>
  <c r="Z70" i="70" s="1"/>
  <c r="N70" i="70"/>
  <c r="L70" i="70"/>
  <c r="H70" i="70"/>
  <c r="D70" i="70"/>
  <c r="B70" i="70"/>
  <c r="X69" i="70"/>
  <c r="Z69" i="70" s="1"/>
  <c r="L69" i="70"/>
  <c r="N69" i="70" s="1"/>
  <c r="B69" i="70"/>
  <c r="Z68" i="70"/>
  <c r="X68" i="70"/>
  <c r="T68" i="70"/>
  <c r="P68" i="70"/>
  <c r="H68" i="70"/>
  <c r="L68" i="70" s="1"/>
  <c r="N68" i="70" s="1"/>
  <c r="D68" i="70"/>
  <c r="B68" i="70"/>
  <c r="X67" i="70"/>
  <c r="Z67" i="70" s="1"/>
  <c r="L67" i="70"/>
  <c r="N67" i="70" s="1"/>
  <c r="B67" i="70"/>
  <c r="X66" i="70"/>
  <c r="Z66" i="70" s="1"/>
  <c r="N66" i="70"/>
  <c r="L66" i="70"/>
  <c r="B66" i="70"/>
  <c r="X65" i="70"/>
  <c r="Z65" i="70" s="1"/>
  <c r="L65" i="70"/>
  <c r="N65" i="70" s="1"/>
  <c r="B65" i="70"/>
  <c r="X64" i="70"/>
  <c r="Z64" i="70" s="1"/>
  <c r="L64" i="70"/>
  <c r="N64" i="70" s="1"/>
  <c r="B64" i="70"/>
  <c r="Z63" i="70"/>
  <c r="X63" i="70"/>
  <c r="N63" i="70"/>
  <c r="L63" i="70"/>
  <c r="B63" i="70"/>
  <c r="X62" i="70"/>
  <c r="Z62" i="70" s="1"/>
  <c r="T62" i="70"/>
  <c r="P62" i="70"/>
  <c r="L62" i="70"/>
  <c r="H62" i="70"/>
  <c r="D62" i="70"/>
  <c r="B62" i="70"/>
  <c r="X61" i="70"/>
  <c r="Z61" i="70" s="1"/>
  <c r="N61" i="70"/>
  <c r="L61" i="70"/>
  <c r="B61" i="70"/>
  <c r="X60" i="70"/>
  <c r="T60" i="70"/>
  <c r="P60" i="70"/>
  <c r="H60" i="70"/>
  <c r="D60" i="70"/>
  <c r="B60" i="70"/>
  <c r="Z59" i="70"/>
  <c r="X59" i="70"/>
  <c r="N59" i="70"/>
  <c r="L59" i="70"/>
  <c r="B59" i="70"/>
  <c r="X58" i="70"/>
  <c r="Z58" i="70" s="1"/>
  <c r="L58" i="70"/>
  <c r="N58" i="70" s="1"/>
  <c r="B58" i="70"/>
  <c r="X57" i="70"/>
  <c r="Z57" i="70" s="1"/>
  <c r="N57" i="70"/>
  <c r="L57" i="70"/>
  <c r="B57" i="70"/>
  <c r="T56" i="70"/>
  <c r="P56" i="70"/>
  <c r="H56" i="70"/>
  <c r="D56" i="70"/>
  <c r="B56" i="70"/>
  <c r="Z55" i="70"/>
  <c r="X55" i="70"/>
  <c r="N55" i="70"/>
  <c r="L55" i="70"/>
  <c r="B55" i="70"/>
  <c r="T54" i="70"/>
  <c r="Z54" i="70" s="1"/>
  <c r="P54" i="70"/>
  <c r="X54" i="70" s="1"/>
  <c r="H54" i="70"/>
  <c r="N54" i="70" s="1"/>
  <c r="D54" i="70"/>
  <c r="L54" i="70" s="1"/>
  <c r="B54" i="70"/>
  <c r="Z53" i="70"/>
  <c r="X53" i="70"/>
  <c r="L53" i="70"/>
  <c r="N53" i="70" s="1"/>
  <c r="B53" i="70"/>
  <c r="X52" i="70"/>
  <c r="Z52" i="70" s="1"/>
  <c r="L52" i="70"/>
  <c r="N52" i="70" s="1"/>
  <c r="B52" i="70"/>
  <c r="T51" i="70"/>
  <c r="Z51" i="70" s="1"/>
  <c r="P51" i="70"/>
  <c r="X51" i="70" s="1"/>
  <c r="H51" i="70"/>
  <c r="D51" i="70"/>
  <c r="L51" i="70" s="1"/>
  <c r="N51" i="70" s="1"/>
  <c r="B51" i="70"/>
  <c r="X50" i="70"/>
  <c r="Z50" i="70" s="1"/>
  <c r="L50" i="70"/>
  <c r="N50" i="70" s="1"/>
  <c r="B50" i="70"/>
  <c r="T49" i="70"/>
  <c r="P49" i="70"/>
  <c r="X49" i="70" s="1"/>
  <c r="Z49" i="70" s="1"/>
  <c r="N49" i="70"/>
  <c r="L49" i="70"/>
  <c r="H49" i="70"/>
  <c r="D49" i="70"/>
  <c r="B49" i="70"/>
  <c r="Z48" i="70"/>
  <c r="X48" i="70"/>
  <c r="N48" i="70"/>
  <c r="L48" i="70"/>
  <c r="B48" i="70"/>
  <c r="Z47" i="70"/>
  <c r="X47" i="70"/>
  <c r="T47" i="70"/>
  <c r="P47" i="70"/>
  <c r="H47" i="70"/>
  <c r="N47" i="70" s="1"/>
  <c r="D47" i="70"/>
  <c r="B47" i="70"/>
  <c r="X46" i="70"/>
  <c r="Z46" i="70" s="1"/>
  <c r="L46" i="70"/>
  <c r="N46" i="70" s="1"/>
  <c r="B46" i="70"/>
  <c r="T45" i="70"/>
  <c r="P45" i="70"/>
  <c r="H45" i="70"/>
  <c r="N45" i="70" s="1"/>
  <c r="D45" i="70"/>
  <c r="L45" i="70" s="1"/>
  <c r="B45" i="70"/>
  <c r="Z44" i="70"/>
  <c r="X44" i="70"/>
  <c r="N44" i="70"/>
  <c r="L44" i="70"/>
  <c r="B44" i="70"/>
  <c r="T43" i="70"/>
  <c r="Z43" i="70" s="1"/>
  <c r="P43" i="70"/>
  <c r="X43" i="70" s="1"/>
  <c r="N43" i="70"/>
  <c r="H43" i="70"/>
  <c r="D43" i="70"/>
  <c r="L43" i="70" s="1"/>
  <c r="B43" i="70"/>
  <c r="X42" i="70"/>
  <c r="Z42" i="70" s="1"/>
  <c r="N42" i="70"/>
  <c r="L42" i="70"/>
  <c r="B42" i="70"/>
  <c r="Z41" i="70"/>
  <c r="X41" i="70"/>
  <c r="N41" i="70"/>
  <c r="L41" i="70"/>
  <c r="B41" i="70"/>
  <c r="X40" i="70"/>
  <c r="Z40" i="70" s="1"/>
  <c r="L40" i="70"/>
  <c r="N40" i="70" s="1"/>
  <c r="B40" i="70"/>
  <c r="T39" i="70"/>
  <c r="Z39" i="70" s="1"/>
  <c r="P39" i="70"/>
  <c r="X39" i="70" s="1"/>
  <c r="N39" i="70"/>
  <c r="H39" i="70"/>
  <c r="D39" i="70"/>
  <c r="L39" i="70" s="1"/>
  <c r="B39" i="70"/>
  <c r="X38" i="70"/>
  <c r="Z38" i="70" s="1"/>
  <c r="N38" i="70"/>
  <c r="L38" i="70"/>
  <c r="B38" i="70"/>
  <c r="Z37" i="70"/>
  <c r="X37" i="70"/>
  <c r="L37" i="70"/>
  <c r="N37" i="70" s="1"/>
  <c r="B37" i="70"/>
  <c r="X36" i="70"/>
  <c r="Z36" i="70" s="1"/>
  <c r="L36" i="70"/>
  <c r="N36" i="70" s="1"/>
  <c r="B36" i="70"/>
  <c r="X35" i="70"/>
  <c r="Z35" i="70" s="1"/>
  <c r="N35" i="70"/>
  <c r="L35" i="70"/>
  <c r="B35" i="70"/>
  <c r="Z34" i="70"/>
  <c r="X34" i="70"/>
  <c r="L34" i="70"/>
  <c r="N34" i="70" s="1"/>
  <c r="B34" i="70"/>
  <c r="X33" i="70"/>
  <c r="Z33" i="70" s="1"/>
  <c r="N33" i="70"/>
  <c r="L33" i="70"/>
  <c r="B33" i="70"/>
  <c r="X32" i="70"/>
  <c r="Z32" i="70" s="1"/>
  <c r="L32" i="70"/>
  <c r="N32" i="70" s="1"/>
  <c r="B32" i="70"/>
  <c r="Z31" i="70"/>
  <c r="X31" i="70"/>
  <c r="L31" i="70"/>
  <c r="N31" i="70" s="1"/>
  <c r="B31" i="70"/>
  <c r="X30" i="70"/>
  <c r="Z30" i="70" s="1"/>
  <c r="T30" i="70"/>
  <c r="P30" i="70"/>
  <c r="H30" i="70"/>
  <c r="D30" i="70"/>
  <c r="B30" i="70"/>
  <c r="T29" i="70"/>
  <c r="P29" i="70"/>
  <c r="H29" i="70"/>
  <c r="N29" i="70" s="1"/>
  <c r="D29" i="70"/>
  <c r="L29" i="70" s="1"/>
  <c r="T25" i="70"/>
  <c r="Z25" i="70" s="1"/>
  <c r="P25" i="70"/>
  <c r="H25" i="70"/>
  <c r="N25" i="70" s="1"/>
  <c r="D25" i="70"/>
  <c r="L25" i="70" s="1"/>
  <c r="T23" i="70"/>
  <c r="P23" i="70"/>
  <c r="X23" i="70" s="1"/>
  <c r="Z23" i="70" s="1"/>
  <c r="H23" i="70"/>
  <c r="D23" i="70"/>
  <c r="L23" i="70" s="1"/>
  <c r="B23" i="70"/>
  <c r="T22" i="70"/>
  <c r="Z22" i="70" s="1"/>
  <c r="P22" i="70"/>
  <c r="X22" i="70" s="1"/>
  <c r="H22" i="70"/>
  <c r="N22" i="70" s="1"/>
  <c r="D22" i="70"/>
  <c r="L22" i="70" s="1"/>
  <c r="B22" i="70"/>
  <c r="T21" i="70"/>
  <c r="Z21" i="70" s="1"/>
  <c r="P21" i="70"/>
  <c r="X21" i="70" s="1"/>
  <c r="N21" i="70"/>
  <c r="H21" i="70"/>
  <c r="L21" i="70" s="1"/>
  <c r="D21" i="70"/>
  <c r="B21" i="70"/>
  <c r="T20" i="70"/>
  <c r="P20" i="70"/>
  <c r="L20" i="70"/>
  <c r="N20" i="70" s="1"/>
  <c r="H20" i="70"/>
  <c r="D20" i="70"/>
  <c r="B20" i="70"/>
  <c r="T19" i="70"/>
  <c r="P19" i="70"/>
  <c r="H19" i="70"/>
  <c r="D19" i="70"/>
  <c r="L19" i="70" s="1"/>
  <c r="N19" i="70" s="1"/>
  <c r="B19" i="70"/>
  <c r="X18" i="70"/>
  <c r="T18" i="70"/>
  <c r="P18" i="70"/>
  <c r="H18" i="70"/>
  <c r="D18" i="70"/>
  <c r="L18" i="70" s="1"/>
  <c r="B18" i="70"/>
  <c r="Z17" i="70"/>
  <c r="T17" i="70"/>
  <c r="P17" i="70"/>
  <c r="H17" i="70"/>
  <c r="N17" i="70" s="1"/>
  <c r="D17" i="70"/>
  <c r="L17" i="70" s="1"/>
  <c r="B17" i="70"/>
  <c r="X16" i="70"/>
  <c r="Z16" i="70" s="1"/>
  <c r="T16" i="70"/>
  <c r="P16" i="70"/>
  <c r="H16" i="70"/>
  <c r="N16" i="70" s="1"/>
  <c r="D16" i="70"/>
  <c r="L16" i="70" s="1"/>
  <c r="B16" i="70"/>
  <c r="T15" i="70"/>
  <c r="P15" i="70"/>
  <c r="X15" i="70" s="1"/>
  <c r="Z15" i="70" s="1"/>
  <c r="H15" i="70"/>
  <c r="D15" i="70"/>
  <c r="B15" i="70"/>
  <c r="T14" i="70"/>
  <c r="Z14" i="70" s="1"/>
  <c r="P14" i="70"/>
  <c r="X14" i="70" s="1"/>
  <c r="H14" i="70"/>
  <c r="D14" i="70"/>
  <c r="L14" i="70" s="1"/>
  <c r="B14" i="70"/>
  <c r="T13" i="70"/>
  <c r="Z13" i="70" s="1"/>
  <c r="P13" i="70"/>
  <c r="X13" i="70" s="1"/>
  <c r="H13" i="70"/>
  <c r="D13" i="70"/>
  <c r="B13" i="70"/>
  <c r="D6" i="70"/>
  <c r="D4" i="70"/>
  <c r="X136" i="69"/>
  <c r="Z136" i="69" s="1"/>
  <c r="L136" i="69"/>
  <c r="N136" i="69" s="1"/>
  <c r="T132" i="69"/>
  <c r="P132" i="69"/>
  <c r="N132" i="69"/>
  <c r="L132" i="69"/>
  <c r="H132" i="69"/>
  <c r="D132" i="69"/>
  <c r="B132" i="69"/>
  <c r="Z131" i="69"/>
  <c r="X131" i="69"/>
  <c r="T131" i="69"/>
  <c r="P131" i="69"/>
  <c r="H131" i="69"/>
  <c r="D131" i="69"/>
  <c r="B131" i="69"/>
  <c r="T130" i="69"/>
  <c r="D130" i="69"/>
  <c r="Z128" i="69"/>
  <c r="X128" i="69"/>
  <c r="N128" i="69"/>
  <c r="L128" i="69"/>
  <c r="B128" i="69"/>
  <c r="Z127" i="69"/>
  <c r="T127" i="69"/>
  <c r="P127" i="69"/>
  <c r="X127" i="69" s="1"/>
  <c r="N127" i="69"/>
  <c r="L127" i="69"/>
  <c r="H127" i="69"/>
  <c r="D127" i="69"/>
  <c r="B127" i="69"/>
  <c r="X126" i="69"/>
  <c r="Z126" i="69" s="1"/>
  <c r="L126" i="69"/>
  <c r="N126" i="69" s="1"/>
  <c r="B126" i="69"/>
  <c r="Z125" i="69"/>
  <c r="X125" i="69"/>
  <c r="T125" i="69"/>
  <c r="P125" i="69"/>
  <c r="H125" i="69"/>
  <c r="D125" i="69"/>
  <c r="B125" i="69"/>
  <c r="X124" i="69"/>
  <c r="Z124" i="69" s="1"/>
  <c r="L124" i="69"/>
  <c r="N124" i="69" s="1"/>
  <c r="B124" i="69"/>
  <c r="X123" i="69"/>
  <c r="Z123" i="69" s="1"/>
  <c r="N123" i="69"/>
  <c r="L123" i="69"/>
  <c r="B123" i="69"/>
  <c r="X122" i="69"/>
  <c r="Z122" i="69" s="1"/>
  <c r="N122" i="69"/>
  <c r="L122" i="69"/>
  <c r="B122" i="69"/>
  <c r="Z121" i="69"/>
  <c r="X121" i="69"/>
  <c r="T121" i="69"/>
  <c r="P121" i="69"/>
  <c r="H121" i="69"/>
  <c r="D121" i="69"/>
  <c r="B121" i="69"/>
  <c r="X120" i="69"/>
  <c r="Z120" i="69" s="1"/>
  <c r="N120" i="69"/>
  <c r="L120" i="69"/>
  <c r="B120" i="69"/>
  <c r="T119" i="69"/>
  <c r="P119" i="69"/>
  <c r="H119" i="69"/>
  <c r="N119" i="69" s="1"/>
  <c r="D119" i="69"/>
  <c r="L119" i="69" s="1"/>
  <c r="B119" i="69"/>
  <c r="Z118" i="69"/>
  <c r="X118" i="69"/>
  <c r="N118" i="69"/>
  <c r="L118" i="69"/>
  <c r="B118" i="69"/>
  <c r="X117" i="69"/>
  <c r="Z117" i="69" s="1"/>
  <c r="N117" i="69"/>
  <c r="L117" i="69"/>
  <c r="B117" i="69"/>
  <c r="T116" i="69"/>
  <c r="P116" i="69"/>
  <c r="H116" i="69"/>
  <c r="D116" i="69"/>
  <c r="L116" i="69" s="1"/>
  <c r="N116" i="69" s="1"/>
  <c r="B116" i="69"/>
  <c r="Z115" i="69"/>
  <c r="X115" i="69"/>
  <c r="N115" i="69"/>
  <c r="L115" i="69"/>
  <c r="B115" i="69"/>
  <c r="Z114" i="69"/>
  <c r="X114" i="69"/>
  <c r="N114" i="69"/>
  <c r="L114" i="69"/>
  <c r="B114" i="69"/>
  <c r="T113" i="69"/>
  <c r="Z113" i="69" s="1"/>
  <c r="P113" i="69"/>
  <c r="X113" i="69" s="1"/>
  <c r="N113" i="69"/>
  <c r="H113" i="69"/>
  <c r="D113" i="69"/>
  <c r="L113" i="69" s="1"/>
  <c r="B113" i="69"/>
  <c r="Z112" i="69"/>
  <c r="X112" i="69"/>
  <c r="N112" i="69"/>
  <c r="L112" i="69"/>
  <c r="B112" i="69"/>
  <c r="Z111" i="69"/>
  <c r="T111" i="69"/>
  <c r="P111" i="69"/>
  <c r="X111" i="69" s="1"/>
  <c r="N111" i="69"/>
  <c r="L111" i="69"/>
  <c r="H111" i="69"/>
  <c r="D111" i="69"/>
  <c r="B111" i="69"/>
  <c r="Z110" i="69"/>
  <c r="X110" i="69"/>
  <c r="N110" i="69"/>
  <c r="L110" i="69"/>
  <c r="B110" i="69"/>
  <c r="Z109" i="69"/>
  <c r="X109" i="69"/>
  <c r="N109" i="69"/>
  <c r="L109" i="69"/>
  <c r="B109" i="69"/>
  <c r="X108" i="69"/>
  <c r="Z108" i="69" s="1"/>
  <c r="T108" i="69"/>
  <c r="P108" i="69"/>
  <c r="H108" i="69"/>
  <c r="D108" i="69"/>
  <c r="B108" i="69"/>
  <c r="Z107" i="69"/>
  <c r="X107" i="69"/>
  <c r="N107" i="69"/>
  <c r="L107" i="69"/>
  <c r="B107" i="69"/>
  <c r="X106" i="69"/>
  <c r="Z106" i="69" s="1"/>
  <c r="N106" i="69"/>
  <c r="L106" i="69"/>
  <c r="B106" i="69"/>
  <c r="Z105" i="69"/>
  <c r="X105" i="69"/>
  <c r="T105" i="69"/>
  <c r="P105" i="69"/>
  <c r="H105" i="69"/>
  <c r="D105" i="69"/>
  <c r="B105" i="69"/>
  <c r="Z104" i="69"/>
  <c r="X104" i="69"/>
  <c r="N104" i="69"/>
  <c r="L104" i="69"/>
  <c r="B104" i="69"/>
  <c r="T103" i="69"/>
  <c r="Z103" i="69" s="1"/>
  <c r="P103" i="69"/>
  <c r="H103" i="69"/>
  <c r="N103" i="69" s="1"/>
  <c r="D103" i="69"/>
  <c r="L103" i="69" s="1"/>
  <c r="B103" i="69"/>
  <c r="Z102" i="69"/>
  <c r="X102" i="69"/>
  <c r="N102" i="69"/>
  <c r="L102" i="69"/>
  <c r="B102" i="69"/>
  <c r="Z101" i="69"/>
  <c r="X101" i="69"/>
  <c r="N101" i="69"/>
  <c r="L101" i="69"/>
  <c r="B101" i="69"/>
  <c r="T100" i="69"/>
  <c r="Z100" i="69" s="1"/>
  <c r="P100" i="69"/>
  <c r="X100" i="69" s="1"/>
  <c r="N100" i="69"/>
  <c r="H100" i="69"/>
  <c r="D100" i="69"/>
  <c r="L100" i="69" s="1"/>
  <c r="B100" i="69"/>
  <c r="Z99" i="69"/>
  <c r="X99" i="69"/>
  <c r="L99" i="69"/>
  <c r="N99" i="69" s="1"/>
  <c r="B99" i="69"/>
  <c r="T98" i="69"/>
  <c r="P98" i="69"/>
  <c r="X98" i="69" s="1"/>
  <c r="Z98" i="69" s="1"/>
  <c r="L98" i="69"/>
  <c r="N98" i="69" s="1"/>
  <c r="H98" i="69"/>
  <c r="D98" i="69"/>
  <c r="B98" i="69"/>
  <c r="Z97" i="69"/>
  <c r="X97" i="69"/>
  <c r="N97" i="69"/>
  <c r="L97" i="69"/>
  <c r="B97" i="69"/>
  <c r="X96" i="69"/>
  <c r="Z96" i="69" s="1"/>
  <c r="L96" i="69"/>
  <c r="N96" i="69" s="1"/>
  <c r="B96" i="69"/>
  <c r="Z95" i="69"/>
  <c r="X95" i="69"/>
  <c r="L95" i="69"/>
  <c r="N95" i="69" s="1"/>
  <c r="B95" i="69"/>
  <c r="X94" i="69"/>
  <c r="Z94" i="69" s="1"/>
  <c r="L94" i="69"/>
  <c r="N94" i="69" s="1"/>
  <c r="B94" i="69"/>
  <c r="Z93" i="69"/>
  <c r="X93" i="69"/>
  <c r="N93" i="69"/>
  <c r="L93" i="69"/>
  <c r="B93" i="69"/>
  <c r="T92" i="69"/>
  <c r="P92" i="69"/>
  <c r="H92" i="69"/>
  <c r="D92" i="69"/>
  <c r="L92" i="69" s="1"/>
  <c r="N92" i="69" s="1"/>
  <c r="B92" i="69"/>
  <c r="Z91" i="69"/>
  <c r="X91" i="69"/>
  <c r="L91" i="69"/>
  <c r="N91" i="69" s="1"/>
  <c r="B91" i="69"/>
  <c r="Z90" i="69"/>
  <c r="X90" i="69"/>
  <c r="L90" i="69"/>
  <c r="N90" i="69" s="1"/>
  <c r="B90" i="69"/>
  <c r="Z89" i="69"/>
  <c r="X89" i="69"/>
  <c r="N89" i="69"/>
  <c r="L89" i="69"/>
  <c r="B89" i="69"/>
  <c r="Z88" i="69"/>
  <c r="X88" i="69"/>
  <c r="L88" i="69"/>
  <c r="N88" i="69" s="1"/>
  <c r="B88" i="69"/>
  <c r="X87" i="69"/>
  <c r="Z87" i="69" s="1"/>
  <c r="N87" i="69"/>
  <c r="L87" i="69"/>
  <c r="B87" i="69"/>
  <c r="X86" i="69"/>
  <c r="Z86" i="69" s="1"/>
  <c r="N86" i="69"/>
  <c r="L86" i="69"/>
  <c r="B86" i="69"/>
  <c r="Z85" i="69"/>
  <c r="X85" i="69"/>
  <c r="N85" i="69"/>
  <c r="L85" i="69"/>
  <c r="B85" i="69"/>
  <c r="X84" i="69"/>
  <c r="Z84" i="69" s="1"/>
  <c r="L84" i="69"/>
  <c r="N84" i="69" s="1"/>
  <c r="B84" i="69"/>
  <c r="T83" i="69"/>
  <c r="P83" i="69"/>
  <c r="X83" i="69" s="1"/>
  <c r="Z83" i="69" s="1"/>
  <c r="N83" i="69"/>
  <c r="L83" i="69"/>
  <c r="H83" i="69"/>
  <c r="D83" i="69"/>
  <c r="B83" i="69"/>
  <c r="X82" i="69"/>
  <c r="T82" i="69"/>
  <c r="P82" i="69"/>
  <c r="H82" i="69"/>
  <c r="D82" i="69"/>
  <c r="L82" i="69" s="1"/>
  <c r="X78" i="69"/>
  <c r="Z78" i="69" s="1"/>
  <c r="L78" i="69"/>
  <c r="N78" i="69" s="1"/>
  <c r="B78" i="69"/>
  <c r="Z77" i="69"/>
  <c r="X77" i="69"/>
  <c r="N77" i="69"/>
  <c r="L77" i="69"/>
  <c r="B77" i="69"/>
  <c r="X76" i="69"/>
  <c r="Z76" i="69" s="1"/>
  <c r="L76" i="69"/>
  <c r="N76" i="69" s="1"/>
  <c r="B76" i="69"/>
  <c r="Z75" i="69"/>
  <c r="X75" i="69"/>
  <c r="L75" i="69"/>
  <c r="N75" i="69" s="1"/>
  <c r="B75" i="69"/>
  <c r="X74" i="69"/>
  <c r="Z74" i="69" s="1"/>
  <c r="L74" i="69"/>
  <c r="N74" i="69" s="1"/>
  <c r="B74" i="69"/>
  <c r="Z73" i="69"/>
  <c r="X73" i="69"/>
  <c r="N73" i="69"/>
  <c r="L73" i="69"/>
  <c r="B73" i="69"/>
  <c r="X72" i="69"/>
  <c r="Z72" i="69" s="1"/>
  <c r="L72" i="69"/>
  <c r="N72" i="69" s="1"/>
  <c r="B72" i="69"/>
  <c r="X71" i="69"/>
  <c r="Z71" i="69" s="1"/>
  <c r="N71" i="69"/>
  <c r="L71" i="69"/>
  <c r="B71" i="69"/>
  <c r="X70" i="69"/>
  <c r="Z70" i="69" s="1"/>
  <c r="L70" i="69"/>
  <c r="N70" i="69" s="1"/>
  <c r="B70" i="69"/>
  <c r="Z69" i="69"/>
  <c r="X69" i="69"/>
  <c r="N69" i="69"/>
  <c r="L69" i="69"/>
  <c r="B69" i="69"/>
  <c r="X68" i="69"/>
  <c r="Z68" i="69" s="1"/>
  <c r="N68" i="69"/>
  <c r="L68" i="69"/>
  <c r="B68" i="69"/>
  <c r="Z67" i="69"/>
  <c r="X67" i="69"/>
  <c r="L67" i="69"/>
  <c r="N67" i="69" s="1"/>
  <c r="B67" i="69"/>
  <c r="X66" i="69"/>
  <c r="Z66" i="69" s="1"/>
  <c r="L66" i="69"/>
  <c r="N66" i="69" s="1"/>
  <c r="B66" i="69"/>
  <c r="Z65" i="69"/>
  <c r="X65" i="69"/>
  <c r="N65" i="69"/>
  <c r="L65" i="69"/>
  <c r="B65" i="69"/>
  <c r="X64" i="69"/>
  <c r="Z64" i="69" s="1"/>
  <c r="L64" i="69"/>
  <c r="N64" i="69" s="1"/>
  <c r="B64" i="69"/>
  <c r="X63" i="69"/>
  <c r="Z63" i="69" s="1"/>
  <c r="N63" i="69"/>
  <c r="L63" i="69"/>
  <c r="B63" i="69"/>
  <c r="X62" i="69"/>
  <c r="Z62" i="69" s="1"/>
  <c r="L62" i="69"/>
  <c r="N62" i="69" s="1"/>
  <c r="B62" i="69"/>
  <c r="Z61" i="69"/>
  <c r="X61" i="69"/>
  <c r="N61" i="69"/>
  <c r="L61" i="69"/>
  <c r="B61" i="69"/>
  <c r="X60" i="69"/>
  <c r="Z60" i="69" s="1"/>
  <c r="N60" i="69"/>
  <c r="L60" i="69"/>
  <c r="B60" i="69"/>
  <c r="Z59" i="69"/>
  <c r="X59" i="69"/>
  <c r="N59" i="69"/>
  <c r="L59" i="69"/>
  <c r="B59" i="69"/>
  <c r="X58" i="69"/>
  <c r="Z58" i="69" s="1"/>
  <c r="L58" i="69"/>
  <c r="N58" i="69" s="1"/>
  <c r="B58" i="69"/>
  <c r="Z57" i="69"/>
  <c r="X57" i="69"/>
  <c r="N57" i="69"/>
  <c r="L57" i="69"/>
  <c r="B57" i="69"/>
  <c r="Z56" i="69"/>
  <c r="X56" i="69"/>
  <c r="L56" i="69"/>
  <c r="N56" i="69" s="1"/>
  <c r="B56" i="69"/>
  <c r="Z55" i="69"/>
  <c r="X55" i="69"/>
  <c r="N55" i="69"/>
  <c r="L55" i="69"/>
  <c r="B55" i="69"/>
  <c r="X54" i="69"/>
  <c r="T54" i="69"/>
  <c r="P54" i="69"/>
  <c r="H54" i="69"/>
  <c r="D54" i="69"/>
  <c r="Z52" i="69"/>
  <c r="X52" i="69"/>
  <c r="T52" i="69"/>
  <c r="P52" i="69"/>
  <c r="H52" i="69"/>
  <c r="N52" i="69" s="1"/>
  <c r="D52" i="69"/>
  <c r="L52" i="69" s="1"/>
  <c r="B52" i="69"/>
  <c r="Z51" i="69"/>
  <c r="X51" i="69"/>
  <c r="T51" i="69"/>
  <c r="P51" i="69"/>
  <c r="H51" i="69"/>
  <c r="L51" i="69" s="1"/>
  <c r="D51" i="69"/>
  <c r="B51" i="69"/>
  <c r="T50" i="69"/>
  <c r="P50" i="69"/>
  <c r="X50" i="69" s="1"/>
  <c r="Z50" i="69" s="1"/>
  <c r="N50" i="69"/>
  <c r="L50" i="69"/>
  <c r="H50" i="69"/>
  <c r="D50" i="69"/>
  <c r="B50" i="69"/>
  <c r="T49" i="69"/>
  <c r="P49" i="69"/>
  <c r="H49" i="69"/>
  <c r="L49" i="69" s="1"/>
  <c r="N49" i="69" s="1"/>
  <c r="D49" i="69"/>
  <c r="B49" i="69"/>
  <c r="X48" i="69"/>
  <c r="T48" i="69"/>
  <c r="Z48" i="69" s="1"/>
  <c r="P48" i="69"/>
  <c r="N48" i="69"/>
  <c r="L48" i="69"/>
  <c r="H48" i="69"/>
  <c r="D48" i="69"/>
  <c r="B48" i="69"/>
  <c r="Z47" i="69"/>
  <c r="X47" i="69"/>
  <c r="T47" i="69"/>
  <c r="P47" i="69"/>
  <c r="N47" i="69"/>
  <c r="L47" i="69"/>
  <c r="H47" i="69"/>
  <c r="D47" i="69"/>
  <c r="B47" i="69"/>
  <c r="Z46" i="69"/>
  <c r="X46" i="69"/>
  <c r="T46" i="69"/>
  <c r="P46" i="69"/>
  <c r="N46" i="69"/>
  <c r="H46" i="69"/>
  <c r="D46" i="69"/>
  <c r="L46" i="69" s="1"/>
  <c r="B46" i="69"/>
  <c r="Z45" i="69"/>
  <c r="T45" i="69"/>
  <c r="X45" i="69" s="1"/>
  <c r="P45" i="69"/>
  <c r="H45" i="69"/>
  <c r="D45" i="69"/>
  <c r="L45" i="69" s="1"/>
  <c r="B45" i="69"/>
  <c r="X44" i="69"/>
  <c r="Z44" i="69" s="1"/>
  <c r="T44" i="69"/>
  <c r="P44" i="69"/>
  <c r="H44" i="69"/>
  <c r="D44" i="69"/>
  <c r="L44" i="69" s="1"/>
  <c r="B44" i="69"/>
  <c r="Z43" i="69"/>
  <c r="X43" i="69"/>
  <c r="T43" i="69"/>
  <c r="P43" i="69"/>
  <c r="H43" i="69"/>
  <c r="D43" i="69"/>
  <c r="B43" i="69"/>
  <c r="T42" i="69"/>
  <c r="P42" i="69"/>
  <c r="X42" i="69" s="1"/>
  <c r="Z42" i="69" s="1"/>
  <c r="N42" i="69"/>
  <c r="L42" i="69"/>
  <c r="H42" i="69"/>
  <c r="D42" i="69"/>
  <c r="B42" i="69"/>
  <c r="T41" i="69"/>
  <c r="P41" i="69"/>
  <c r="N41" i="69"/>
  <c r="H41" i="69"/>
  <c r="L41" i="69" s="1"/>
  <c r="D41" i="69"/>
  <c r="B41" i="69"/>
  <c r="T40" i="69"/>
  <c r="P40" i="69"/>
  <c r="X40" i="69" s="1"/>
  <c r="N40" i="69"/>
  <c r="L40" i="69"/>
  <c r="H40" i="69"/>
  <c r="D40" i="69"/>
  <c r="B40" i="69"/>
  <c r="X39" i="69"/>
  <c r="T39" i="69"/>
  <c r="Z39" i="69" s="1"/>
  <c r="P39" i="69"/>
  <c r="N39" i="69"/>
  <c r="H39" i="69"/>
  <c r="D39" i="69"/>
  <c r="L39" i="69" s="1"/>
  <c r="B39" i="69"/>
  <c r="X38" i="69"/>
  <c r="Z38" i="69" s="1"/>
  <c r="T38" i="69"/>
  <c r="P38" i="69"/>
  <c r="H38" i="69"/>
  <c r="N38" i="69" s="1"/>
  <c r="D38" i="69"/>
  <c r="L38" i="69" s="1"/>
  <c r="B38" i="69"/>
  <c r="T37" i="69"/>
  <c r="X37" i="69" s="1"/>
  <c r="Z37" i="69" s="1"/>
  <c r="P37" i="69"/>
  <c r="H37" i="69"/>
  <c r="D37" i="69"/>
  <c r="B37" i="69"/>
  <c r="X36" i="69"/>
  <c r="Z36" i="69" s="1"/>
  <c r="T36" i="69"/>
  <c r="P36" i="69"/>
  <c r="H36" i="69"/>
  <c r="D36" i="69"/>
  <c r="B36" i="69"/>
  <c r="T35" i="69"/>
  <c r="P35" i="69"/>
  <c r="X35" i="69" s="1"/>
  <c r="Z35" i="69" s="1"/>
  <c r="H35" i="69"/>
  <c r="D35" i="69"/>
  <c r="B35" i="69"/>
  <c r="T34" i="69"/>
  <c r="P34" i="69"/>
  <c r="X34" i="69" s="1"/>
  <c r="N34" i="69"/>
  <c r="L34" i="69"/>
  <c r="H34" i="69"/>
  <c r="D34" i="69"/>
  <c r="B34" i="69"/>
  <c r="T33" i="69"/>
  <c r="P33" i="69"/>
  <c r="N33" i="69"/>
  <c r="H33" i="69"/>
  <c r="L33" i="69" s="1"/>
  <c r="D33" i="69"/>
  <c r="B33" i="69"/>
  <c r="T32" i="69"/>
  <c r="P32" i="69"/>
  <c r="N32" i="69"/>
  <c r="L32" i="69"/>
  <c r="H32" i="69"/>
  <c r="D32" i="69"/>
  <c r="B32" i="69"/>
  <c r="T31" i="69"/>
  <c r="P31" i="69"/>
  <c r="N31" i="69"/>
  <c r="H31" i="69"/>
  <c r="D31" i="69"/>
  <c r="L31" i="69" s="1"/>
  <c r="B31" i="69"/>
  <c r="X30" i="69"/>
  <c r="Z30" i="69" s="1"/>
  <c r="T30" i="69"/>
  <c r="P30" i="69"/>
  <c r="H30" i="69"/>
  <c r="N30" i="69" s="1"/>
  <c r="D30" i="69"/>
  <c r="L30" i="69" s="1"/>
  <c r="B30" i="69"/>
  <c r="T29" i="69"/>
  <c r="X29" i="69" s="1"/>
  <c r="P29" i="69"/>
  <c r="H29" i="69"/>
  <c r="N29" i="69" s="1"/>
  <c r="D29" i="69"/>
  <c r="B29" i="69"/>
  <c r="X28" i="69"/>
  <c r="Z28" i="69" s="1"/>
  <c r="T28" i="69"/>
  <c r="P28" i="69"/>
  <c r="H28" i="69"/>
  <c r="D28" i="69"/>
  <c r="L28" i="69" s="1"/>
  <c r="B28" i="69"/>
  <c r="Z27" i="69"/>
  <c r="T27" i="69"/>
  <c r="P27" i="69"/>
  <c r="X27" i="69" s="1"/>
  <c r="H27" i="69"/>
  <c r="D27" i="69"/>
  <c r="B27" i="69"/>
  <c r="T26" i="69"/>
  <c r="Z26" i="69" s="1"/>
  <c r="P26" i="69"/>
  <c r="X26" i="69" s="1"/>
  <c r="H26" i="69"/>
  <c r="N26" i="69" s="1"/>
  <c r="D26" i="69"/>
  <c r="L26" i="69" s="1"/>
  <c r="B26" i="69"/>
  <c r="T25" i="69"/>
  <c r="Z25" i="69" s="1"/>
  <c r="P25" i="69"/>
  <c r="X25" i="69" s="1"/>
  <c r="N25" i="69"/>
  <c r="L25" i="69"/>
  <c r="H25" i="69"/>
  <c r="D25" i="69"/>
  <c r="B25" i="69"/>
  <c r="X24" i="69"/>
  <c r="T24" i="69"/>
  <c r="P24" i="69"/>
  <c r="N24" i="69"/>
  <c r="L24" i="69"/>
  <c r="H24" i="69"/>
  <c r="D24" i="69"/>
  <c r="B24" i="69"/>
  <c r="T23" i="69"/>
  <c r="P23" i="69"/>
  <c r="X23" i="69" s="1"/>
  <c r="Z23" i="69" s="1"/>
  <c r="H23" i="69"/>
  <c r="D23" i="69"/>
  <c r="L23" i="69" s="1"/>
  <c r="N23" i="69" s="1"/>
  <c r="B23" i="69"/>
  <c r="T22" i="69"/>
  <c r="P22" i="69"/>
  <c r="X22" i="69" s="1"/>
  <c r="Z22" i="69" s="1"/>
  <c r="H22" i="69"/>
  <c r="D22" i="69"/>
  <c r="B22" i="69"/>
  <c r="X21" i="69"/>
  <c r="Z21" i="69" s="1"/>
  <c r="T21" i="69"/>
  <c r="P21" i="69"/>
  <c r="L21" i="69"/>
  <c r="H21" i="69"/>
  <c r="D21" i="69"/>
  <c r="B21" i="69"/>
  <c r="X20" i="69"/>
  <c r="Z20" i="69" s="1"/>
  <c r="T20" i="69"/>
  <c r="P20" i="69"/>
  <c r="H20" i="69"/>
  <c r="D20" i="69"/>
  <c r="L20" i="69" s="1"/>
  <c r="N20" i="69" s="1"/>
  <c r="B20" i="69"/>
  <c r="T19" i="69"/>
  <c r="P19" i="69"/>
  <c r="X19" i="69" s="1"/>
  <c r="Z19" i="69" s="1"/>
  <c r="H19" i="69"/>
  <c r="D19" i="69"/>
  <c r="L19" i="69" s="1"/>
  <c r="B19" i="69"/>
  <c r="X18" i="69"/>
  <c r="T18" i="69"/>
  <c r="Z18" i="69" s="1"/>
  <c r="P18" i="69"/>
  <c r="H18" i="69"/>
  <c r="N18" i="69" s="1"/>
  <c r="D18" i="69"/>
  <c r="L18" i="69" s="1"/>
  <c r="B18" i="69"/>
  <c r="Z17" i="69"/>
  <c r="X17" i="69"/>
  <c r="T17" i="69"/>
  <c r="P17" i="69"/>
  <c r="H17" i="69"/>
  <c r="D17" i="69"/>
  <c r="B17" i="69"/>
  <c r="T16" i="69"/>
  <c r="P16" i="69"/>
  <c r="X16" i="69" s="1"/>
  <c r="Z16" i="69" s="1"/>
  <c r="N16" i="69"/>
  <c r="L16" i="69"/>
  <c r="H16" i="69"/>
  <c r="D16" i="69"/>
  <c r="B16" i="69"/>
  <c r="T15" i="69"/>
  <c r="P15" i="69"/>
  <c r="X15" i="69" s="1"/>
  <c r="H15" i="69"/>
  <c r="D15" i="69"/>
  <c r="L15" i="69" s="1"/>
  <c r="N15" i="69" s="1"/>
  <c r="B15" i="69"/>
  <c r="T14" i="69"/>
  <c r="P14" i="69"/>
  <c r="L14" i="69"/>
  <c r="H14" i="69"/>
  <c r="N14" i="69" s="1"/>
  <c r="D14" i="69"/>
  <c r="B14" i="69"/>
  <c r="X13" i="69"/>
  <c r="T13" i="69"/>
  <c r="P13" i="69"/>
  <c r="N13" i="69"/>
  <c r="L13" i="69"/>
  <c r="H13" i="69"/>
  <c r="D13" i="69"/>
  <c r="B13" i="69"/>
  <c r="D6" i="69"/>
  <c r="D4" i="69"/>
  <c r="Z50" i="67"/>
  <c r="X50" i="67"/>
  <c r="N50" i="67"/>
  <c r="L50" i="67"/>
  <c r="F48" i="67"/>
  <c r="Z46" i="67"/>
  <c r="T46" i="67"/>
  <c r="P46" i="67"/>
  <c r="X46" i="67" s="1"/>
  <c r="N46" i="67"/>
  <c r="H46" i="67"/>
  <c r="D46" i="67"/>
  <c r="L46" i="67" s="1"/>
  <c r="X44" i="67"/>
  <c r="Z44" i="67" s="1"/>
  <c r="N44" i="67"/>
  <c r="L44" i="67"/>
  <c r="B44" i="67"/>
  <c r="Z43" i="67"/>
  <c r="X43" i="67"/>
  <c r="T43" i="67"/>
  <c r="P43" i="67"/>
  <c r="H43" i="67"/>
  <c r="D43" i="67"/>
  <c r="B43" i="67"/>
  <c r="Z42" i="67"/>
  <c r="X42" i="67"/>
  <c r="N42" i="67"/>
  <c r="L42" i="67"/>
  <c r="B42" i="67"/>
  <c r="T41" i="67"/>
  <c r="Z41" i="67" s="1"/>
  <c r="P41" i="67"/>
  <c r="X41" i="67" s="1"/>
  <c r="H41" i="67"/>
  <c r="N41" i="67" s="1"/>
  <c r="F41" i="67"/>
  <c r="D41" i="67"/>
  <c r="L41" i="67" s="1"/>
  <c r="B41" i="67"/>
  <c r="Z40" i="67"/>
  <c r="X40" i="67"/>
  <c r="N40" i="67"/>
  <c r="L40" i="67"/>
  <c r="B40" i="67"/>
  <c r="T39" i="67"/>
  <c r="P39" i="67"/>
  <c r="X39" i="67" s="1"/>
  <c r="L39" i="67"/>
  <c r="H39" i="67"/>
  <c r="N39" i="67" s="1"/>
  <c r="D39" i="67"/>
  <c r="B39" i="67"/>
  <c r="Z38" i="67"/>
  <c r="X38" i="67"/>
  <c r="N38" i="67"/>
  <c r="L38" i="67"/>
  <c r="B38" i="67"/>
  <c r="X37" i="67"/>
  <c r="T37" i="67"/>
  <c r="Z37" i="67" s="1"/>
  <c r="P37" i="67"/>
  <c r="L37" i="67"/>
  <c r="N37" i="67" s="1"/>
  <c r="H37" i="67"/>
  <c r="D37" i="67"/>
  <c r="B37" i="67"/>
  <c r="X36" i="67"/>
  <c r="Z36" i="67" s="1"/>
  <c r="N36" i="67"/>
  <c r="L36" i="67"/>
  <c r="B36" i="67"/>
  <c r="Z35" i="67"/>
  <c r="X35" i="67"/>
  <c r="T35" i="67"/>
  <c r="P35" i="67"/>
  <c r="H35" i="67"/>
  <c r="D35" i="67"/>
  <c r="B35" i="67"/>
  <c r="Z34" i="67"/>
  <c r="X34" i="67"/>
  <c r="N34" i="67"/>
  <c r="L34" i="67"/>
  <c r="B34" i="67"/>
  <c r="T33" i="67"/>
  <c r="P33" i="67"/>
  <c r="H33" i="67"/>
  <c r="D33" i="67"/>
  <c r="L33" i="67" s="1"/>
  <c r="B33" i="67"/>
  <c r="Z32" i="67"/>
  <c r="X32" i="67"/>
  <c r="L32" i="67"/>
  <c r="N32" i="67" s="1"/>
  <c r="B32" i="67"/>
  <c r="X31" i="67"/>
  <c r="Z31" i="67" s="1"/>
  <c r="N31" i="67"/>
  <c r="L31" i="67"/>
  <c r="B31" i="67"/>
  <c r="Z30" i="67"/>
  <c r="X30" i="67"/>
  <c r="N30" i="67"/>
  <c r="L30" i="67"/>
  <c r="B30" i="67"/>
  <c r="X29" i="67"/>
  <c r="Z29" i="67" s="1"/>
  <c r="L29" i="67"/>
  <c r="N29" i="67" s="1"/>
  <c r="B29" i="67"/>
  <c r="X28" i="67"/>
  <c r="Z28" i="67" s="1"/>
  <c r="N28" i="67"/>
  <c r="L28" i="67"/>
  <c r="B28" i="67"/>
  <c r="X27" i="67"/>
  <c r="Z27" i="67" s="1"/>
  <c r="N27" i="67"/>
  <c r="L27" i="67"/>
  <c r="B27" i="67"/>
  <c r="Z26" i="67"/>
  <c r="X26" i="67"/>
  <c r="N26" i="67"/>
  <c r="L26" i="67"/>
  <c r="F26" i="67"/>
  <c r="B26" i="67"/>
  <c r="X25" i="67"/>
  <c r="Z25" i="67" s="1"/>
  <c r="L25" i="67"/>
  <c r="N25" i="67" s="1"/>
  <c r="B25" i="67"/>
  <c r="T24" i="67"/>
  <c r="P24" i="67"/>
  <c r="X24" i="67" s="1"/>
  <c r="Z24" i="67" s="1"/>
  <c r="N24" i="67"/>
  <c r="H24" i="67"/>
  <c r="D24" i="67"/>
  <c r="L24" i="67" s="1"/>
  <c r="B24" i="67"/>
  <c r="X23" i="67"/>
  <c r="Z23" i="67" s="1"/>
  <c r="T23" i="67"/>
  <c r="P23" i="67"/>
  <c r="H23" i="67"/>
  <c r="D23" i="67"/>
  <c r="L23" i="67" s="1"/>
  <c r="Z19" i="67"/>
  <c r="X19" i="67"/>
  <c r="N19" i="67"/>
  <c r="L19" i="67"/>
  <c r="B19" i="67"/>
  <c r="Z18" i="67"/>
  <c r="T18" i="67"/>
  <c r="P18" i="67"/>
  <c r="X18" i="67" s="1"/>
  <c r="N18" i="67"/>
  <c r="L18" i="67"/>
  <c r="H18" i="67"/>
  <c r="D18" i="67"/>
  <c r="T16" i="67"/>
  <c r="Z16" i="67" s="1"/>
  <c r="P16" i="67"/>
  <c r="X16" i="67" s="1"/>
  <c r="N16" i="67"/>
  <c r="H16" i="67"/>
  <c r="H12" i="67" s="1"/>
  <c r="D16" i="67"/>
  <c r="L16" i="67" s="1"/>
  <c r="B16" i="67"/>
  <c r="T15" i="67"/>
  <c r="Z15" i="67" s="1"/>
  <c r="P15" i="67"/>
  <c r="L15" i="67"/>
  <c r="H15" i="67"/>
  <c r="N15" i="67" s="1"/>
  <c r="D15" i="67"/>
  <c r="B15" i="67"/>
  <c r="T14" i="67"/>
  <c r="P14" i="67"/>
  <c r="N14" i="67"/>
  <c r="H14" i="67"/>
  <c r="L14" i="67" s="1"/>
  <c r="D14" i="67"/>
  <c r="B14" i="67"/>
  <c r="Z13" i="67"/>
  <c r="X13" i="67"/>
  <c r="T13" i="67"/>
  <c r="P13" i="67"/>
  <c r="N13" i="67"/>
  <c r="H13" i="67"/>
  <c r="D13" i="67"/>
  <c r="L13" i="67" s="1"/>
  <c r="B13" i="67"/>
  <c r="D12" i="67"/>
  <c r="D6" i="67"/>
  <c r="D4" i="67"/>
  <c r="Z112" i="66"/>
  <c r="X112" i="66"/>
  <c r="L112" i="66"/>
  <c r="N112" i="66" s="1"/>
  <c r="X108" i="66"/>
  <c r="Z108" i="66" s="1"/>
  <c r="T108" i="66"/>
  <c r="P108" i="66"/>
  <c r="H108" i="66"/>
  <c r="D108" i="66"/>
  <c r="B108" i="66"/>
  <c r="T107" i="66"/>
  <c r="P107" i="66"/>
  <c r="L107" i="66"/>
  <c r="H107" i="66"/>
  <c r="N107" i="66" s="1"/>
  <c r="D107" i="66"/>
  <c r="B107" i="66"/>
  <c r="T106" i="66"/>
  <c r="P106" i="66"/>
  <c r="X106" i="66" s="1"/>
  <c r="Z106" i="66" s="1"/>
  <c r="L106" i="66"/>
  <c r="N106" i="66" s="1"/>
  <c r="H106" i="66"/>
  <c r="D106" i="66"/>
  <c r="B106" i="66"/>
  <c r="T105" i="66"/>
  <c r="D105" i="66"/>
  <c r="X103" i="66"/>
  <c r="Z103" i="66" s="1"/>
  <c r="N103" i="66"/>
  <c r="L103" i="66"/>
  <c r="B103" i="66"/>
  <c r="T102" i="66"/>
  <c r="P102" i="66"/>
  <c r="X102" i="66" s="1"/>
  <c r="Z102" i="66" s="1"/>
  <c r="N102" i="66"/>
  <c r="H102" i="66"/>
  <c r="D102" i="66"/>
  <c r="L102" i="66" s="1"/>
  <c r="B102" i="66"/>
  <c r="X101" i="66"/>
  <c r="Z101" i="66" s="1"/>
  <c r="N101" i="66"/>
  <c r="L101" i="66"/>
  <c r="B101" i="66"/>
  <c r="Z100" i="66"/>
  <c r="X100" i="66"/>
  <c r="N100" i="66"/>
  <c r="L100" i="66"/>
  <c r="B100" i="66"/>
  <c r="X99" i="66"/>
  <c r="T99" i="66"/>
  <c r="Z99" i="66" s="1"/>
  <c r="P99" i="66"/>
  <c r="L99" i="66"/>
  <c r="N99" i="66" s="1"/>
  <c r="H99" i="66"/>
  <c r="D99" i="66"/>
  <c r="B99" i="66"/>
  <c r="X98" i="66"/>
  <c r="Z98" i="66" s="1"/>
  <c r="N98" i="66"/>
  <c r="L98" i="66"/>
  <c r="B98" i="66"/>
  <c r="X97" i="66"/>
  <c r="Z97" i="66" s="1"/>
  <c r="L97" i="66"/>
  <c r="N97" i="66" s="1"/>
  <c r="B97" i="66"/>
  <c r="Z96" i="66"/>
  <c r="T96" i="66"/>
  <c r="P96" i="66"/>
  <c r="X96" i="66" s="1"/>
  <c r="L96" i="66"/>
  <c r="N96" i="66" s="1"/>
  <c r="H96" i="66"/>
  <c r="D96" i="66"/>
  <c r="B96" i="66"/>
  <c r="X95" i="66"/>
  <c r="Z95" i="66" s="1"/>
  <c r="L95" i="66"/>
  <c r="N95" i="66" s="1"/>
  <c r="B95" i="66"/>
  <c r="X94" i="66"/>
  <c r="Z94" i="66" s="1"/>
  <c r="T94" i="66"/>
  <c r="P94" i="66"/>
  <c r="H94" i="66"/>
  <c r="D94" i="66"/>
  <c r="B94" i="66"/>
  <c r="X93" i="66"/>
  <c r="Z93" i="66" s="1"/>
  <c r="N93" i="66"/>
  <c r="L93" i="66"/>
  <c r="B93" i="66"/>
  <c r="Z92" i="66"/>
  <c r="X92" i="66"/>
  <c r="N92" i="66"/>
  <c r="L92" i="66"/>
  <c r="B92" i="66"/>
  <c r="Z91" i="66"/>
  <c r="X91" i="66"/>
  <c r="N91" i="66"/>
  <c r="L91" i="66"/>
  <c r="B91" i="66"/>
  <c r="X90" i="66"/>
  <c r="Z90" i="66" s="1"/>
  <c r="T90" i="66"/>
  <c r="P90" i="66"/>
  <c r="H90" i="66"/>
  <c r="D90" i="66"/>
  <c r="B90" i="66"/>
  <c r="Z89" i="66"/>
  <c r="X89" i="66"/>
  <c r="N89" i="66"/>
  <c r="L89" i="66"/>
  <c r="B89" i="66"/>
  <c r="T88" i="66"/>
  <c r="P88" i="66"/>
  <c r="H88" i="66"/>
  <c r="D88" i="66"/>
  <c r="L88" i="66" s="1"/>
  <c r="N88" i="66" s="1"/>
  <c r="B88" i="66"/>
  <c r="X87" i="66"/>
  <c r="Z87" i="66" s="1"/>
  <c r="L87" i="66"/>
  <c r="N87" i="66" s="1"/>
  <c r="B87" i="66"/>
  <c r="T86" i="66"/>
  <c r="P86" i="66"/>
  <c r="X86" i="66" s="1"/>
  <c r="Z86" i="66" s="1"/>
  <c r="N86" i="66"/>
  <c r="H86" i="66"/>
  <c r="D86" i="66"/>
  <c r="L86" i="66" s="1"/>
  <c r="B86" i="66"/>
  <c r="X85" i="66"/>
  <c r="Z85" i="66" s="1"/>
  <c r="N85" i="66"/>
  <c r="L85" i="66"/>
  <c r="B85" i="66"/>
  <c r="T84" i="66"/>
  <c r="P84" i="66"/>
  <c r="X84" i="66" s="1"/>
  <c r="Z84" i="66" s="1"/>
  <c r="L84" i="66"/>
  <c r="N84" i="66" s="1"/>
  <c r="H84" i="66"/>
  <c r="D84" i="66"/>
  <c r="B84" i="66"/>
  <c r="X83" i="66"/>
  <c r="Z83" i="66" s="1"/>
  <c r="L83" i="66"/>
  <c r="N83" i="66" s="1"/>
  <c r="B83" i="66"/>
  <c r="X82" i="66"/>
  <c r="Z82" i="66" s="1"/>
  <c r="T82" i="66"/>
  <c r="P82" i="66"/>
  <c r="H82" i="66"/>
  <c r="D82" i="66"/>
  <c r="B82" i="66"/>
  <c r="Z81" i="66"/>
  <c r="X81" i="66"/>
  <c r="N81" i="66"/>
  <c r="L81" i="66"/>
  <c r="B81" i="66"/>
  <c r="T80" i="66"/>
  <c r="P80" i="66"/>
  <c r="N80" i="66"/>
  <c r="H80" i="66"/>
  <c r="D80" i="66"/>
  <c r="L80" i="66" s="1"/>
  <c r="B80" i="66"/>
  <c r="Z79" i="66"/>
  <c r="X79" i="66"/>
  <c r="N79" i="66"/>
  <c r="L79" i="66"/>
  <c r="B79" i="66"/>
  <c r="Z78" i="66"/>
  <c r="T78" i="66"/>
  <c r="P78" i="66"/>
  <c r="X78" i="66" s="1"/>
  <c r="N78" i="66"/>
  <c r="H78" i="66"/>
  <c r="L78" i="66" s="1"/>
  <c r="D78" i="66"/>
  <c r="B78" i="66"/>
  <c r="Z77" i="66"/>
  <c r="X77" i="66"/>
  <c r="N77" i="66"/>
  <c r="L77" i="66"/>
  <c r="B77" i="66"/>
  <c r="Z76" i="66"/>
  <c r="T76" i="66"/>
  <c r="P76" i="66"/>
  <c r="X76" i="66" s="1"/>
  <c r="N76" i="66"/>
  <c r="L76" i="66"/>
  <c r="H76" i="66"/>
  <c r="D76" i="66"/>
  <c r="B76" i="66"/>
  <c r="Z75" i="66"/>
  <c r="X75" i="66"/>
  <c r="N75" i="66"/>
  <c r="L75" i="66"/>
  <c r="B75" i="66"/>
  <c r="X74" i="66"/>
  <c r="Z74" i="66" s="1"/>
  <c r="N74" i="66"/>
  <c r="L74" i="66"/>
  <c r="B74" i="66"/>
  <c r="X73" i="66"/>
  <c r="Z73" i="66" s="1"/>
  <c r="N73" i="66"/>
  <c r="L73" i="66"/>
  <c r="B73" i="66"/>
  <c r="Z72" i="66"/>
  <c r="X72" i="66"/>
  <c r="N72" i="66"/>
  <c r="L72" i="66"/>
  <c r="B72" i="66"/>
  <c r="X71" i="66"/>
  <c r="Z71" i="66" s="1"/>
  <c r="L71" i="66"/>
  <c r="N71" i="66" s="1"/>
  <c r="B71" i="66"/>
  <c r="Z70" i="66"/>
  <c r="X70" i="66"/>
  <c r="L70" i="66"/>
  <c r="N70" i="66" s="1"/>
  <c r="B70" i="66"/>
  <c r="Z69" i="66"/>
  <c r="X69" i="66"/>
  <c r="N69" i="66"/>
  <c r="L69" i="66"/>
  <c r="B69" i="66"/>
  <c r="T68" i="66"/>
  <c r="P68" i="66"/>
  <c r="X68" i="66" s="1"/>
  <c r="H68" i="66"/>
  <c r="D68" i="66"/>
  <c r="L68" i="66" s="1"/>
  <c r="N68" i="66" s="1"/>
  <c r="B68" i="66"/>
  <c r="X67" i="66"/>
  <c r="Z67" i="66" s="1"/>
  <c r="L67" i="66"/>
  <c r="N67" i="66" s="1"/>
  <c r="B67" i="66"/>
  <c r="Z66" i="66"/>
  <c r="X66" i="66"/>
  <c r="L66" i="66"/>
  <c r="N66" i="66" s="1"/>
  <c r="B66" i="66"/>
  <c r="Z65" i="66"/>
  <c r="X65" i="66"/>
  <c r="L65" i="66"/>
  <c r="N65" i="66" s="1"/>
  <c r="B65" i="66"/>
  <c r="Z64" i="66"/>
  <c r="X64" i="66"/>
  <c r="N64" i="66"/>
  <c r="L64" i="66"/>
  <c r="B64" i="66"/>
  <c r="X63" i="66"/>
  <c r="Z63" i="66" s="1"/>
  <c r="L63" i="66"/>
  <c r="N63" i="66" s="1"/>
  <c r="B63" i="66"/>
  <c r="X62" i="66"/>
  <c r="Z62" i="66" s="1"/>
  <c r="N62" i="66"/>
  <c r="L62" i="66"/>
  <c r="B62" i="66"/>
  <c r="X61" i="66"/>
  <c r="Z61" i="66" s="1"/>
  <c r="N61" i="66"/>
  <c r="L61" i="66"/>
  <c r="B61" i="66"/>
  <c r="Z60" i="66"/>
  <c r="X60" i="66"/>
  <c r="N60" i="66"/>
  <c r="L60" i="66"/>
  <c r="B60" i="66"/>
  <c r="X59" i="66"/>
  <c r="Z59" i="66" s="1"/>
  <c r="L59" i="66"/>
  <c r="N59" i="66" s="1"/>
  <c r="B59" i="66"/>
  <c r="T58" i="66"/>
  <c r="P58" i="66"/>
  <c r="X58" i="66" s="1"/>
  <c r="Z58" i="66" s="1"/>
  <c r="H58" i="66"/>
  <c r="D58" i="66"/>
  <c r="L58" i="66" s="1"/>
  <c r="N58" i="66" s="1"/>
  <c r="B58" i="66"/>
  <c r="Z57" i="66"/>
  <c r="X57" i="66"/>
  <c r="T57" i="66"/>
  <c r="P57" i="66"/>
  <c r="H57" i="66"/>
  <c r="D57" i="66"/>
  <c r="L57" i="66" s="1"/>
  <c r="Z53" i="66"/>
  <c r="X53" i="66"/>
  <c r="N53" i="66"/>
  <c r="L53" i="66"/>
  <c r="B53" i="66"/>
  <c r="Z52" i="66"/>
  <c r="X52" i="66"/>
  <c r="N52" i="66"/>
  <c r="L52" i="66"/>
  <c r="B52" i="66"/>
  <c r="X51" i="66"/>
  <c r="Z51" i="66" s="1"/>
  <c r="L51" i="66"/>
  <c r="N51" i="66" s="1"/>
  <c r="B51" i="66"/>
  <c r="Z50" i="66"/>
  <c r="X50" i="66"/>
  <c r="L50" i="66"/>
  <c r="N50" i="66" s="1"/>
  <c r="B50" i="66"/>
  <c r="Z49" i="66"/>
  <c r="X49" i="66"/>
  <c r="N49" i="66"/>
  <c r="L49" i="66"/>
  <c r="B49" i="66"/>
  <c r="Z48" i="66"/>
  <c r="X48" i="66"/>
  <c r="N48" i="66"/>
  <c r="L48" i="66"/>
  <c r="B48" i="66"/>
  <c r="X47" i="66"/>
  <c r="Z47" i="66" s="1"/>
  <c r="L47" i="66"/>
  <c r="N47" i="66" s="1"/>
  <c r="B47" i="66"/>
  <c r="X46" i="66"/>
  <c r="Z46" i="66" s="1"/>
  <c r="N46" i="66"/>
  <c r="L46" i="66"/>
  <c r="B46" i="66"/>
  <c r="Z45" i="66"/>
  <c r="X45" i="66"/>
  <c r="L45" i="66"/>
  <c r="N45" i="66" s="1"/>
  <c r="B45" i="66"/>
  <c r="Z44" i="66"/>
  <c r="X44" i="66"/>
  <c r="N44" i="66"/>
  <c r="L44" i="66"/>
  <c r="B44" i="66"/>
  <c r="X43" i="66"/>
  <c r="Z43" i="66" s="1"/>
  <c r="L43" i="66"/>
  <c r="N43" i="66" s="1"/>
  <c r="B43" i="66"/>
  <c r="Z42" i="66"/>
  <c r="X42" i="66"/>
  <c r="L42" i="66"/>
  <c r="N42" i="66" s="1"/>
  <c r="B42" i="66"/>
  <c r="X41" i="66"/>
  <c r="Z41" i="66" s="1"/>
  <c r="N41" i="66"/>
  <c r="L41" i="66"/>
  <c r="B41" i="66"/>
  <c r="Z40" i="66"/>
  <c r="X40" i="66"/>
  <c r="N40" i="66"/>
  <c r="L40" i="66"/>
  <c r="B40" i="66"/>
  <c r="Z39" i="66"/>
  <c r="X39" i="66"/>
  <c r="N39" i="66"/>
  <c r="L39" i="66"/>
  <c r="B39" i="66"/>
  <c r="Z38" i="66"/>
  <c r="X38" i="66"/>
  <c r="T38" i="66"/>
  <c r="P38" i="66"/>
  <c r="H38" i="66"/>
  <c r="D38" i="66"/>
  <c r="Z36" i="66"/>
  <c r="X36" i="66"/>
  <c r="T36" i="66"/>
  <c r="P36" i="66"/>
  <c r="H36" i="66"/>
  <c r="N36" i="66" s="1"/>
  <c r="D36" i="66"/>
  <c r="B36" i="66"/>
  <c r="T35" i="66"/>
  <c r="P35" i="66"/>
  <c r="X35" i="66" s="1"/>
  <c r="Z35" i="66" s="1"/>
  <c r="H35" i="66"/>
  <c r="D35" i="66"/>
  <c r="L35" i="66" s="1"/>
  <c r="N35" i="66" s="1"/>
  <c r="B35" i="66"/>
  <c r="T34" i="66"/>
  <c r="P34" i="66"/>
  <c r="H34" i="66"/>
  <c r="D34" i="66"/>
  <c r="B34" i="66"/>
  <c r="T33" i="66"/>
  <c r="P33" i="66"/>
  <c r="X33" i="66" s="1"/>
  <c r="H33" i="66"/>
  <c r="D33" i="66"/>
  <c r="L33" i="66" s="1"/>
  <c r="B33" i="66"/>
  <c r="Z32" i="66"/>
  <c r="X32" i="66"/>
  <c r="T32" i="66"/>
  <c r="P32" i="66"/>
  <c r="L32" i="66"/>
  <c r="H32" i="66"/>
  <c r="N32" i="66" s="1"/>
  <c r="D32" i="66"/>
  <c r="B32" i="66"/>
  <c r="T31" i="66"/>
  <c r="P31" i="66"/>
  <c r="X31" i="66" s="1"/>
  <c r="Z31" i="66" s="1"/>
  <c r="N31" i="66"/>
  <c r="L31" i="66"/>
  <c r="H31" i="66"/>
  <c r="D31" i="66"/>
  <c r="B31" i="66"/>
  <c r="T30" i="66"/>
  <c r="P30" i="66"/>
  <c r="H30" i="66"/>
  <c r="D30" i="66"/>
  <c r="B30" i="66"/>
  <c r="T29" i="66"/>
  <c r="P29" i="66"/>
  <c r="X29" i="66" s="1"/>
  <c r="H29" i="66"/>
  <c r="D29" i="66"/>
  <c r="B29" i="66"/>
  <c r="Z28" i="66"/>
  <c r="X28" i="66"/>
  <c r="T28" i="66"/>
  <c r="P28" i="66"/>
  <c r="L28" i="66"/>
  <c r="H28" i="66"/>
  <c r="N28" i="66" s="1"/>
  <c r="D28" i="66"/>
  <c r="B28" i="66"/>
  <c r="T27" i="66"/>
  <c r="P27" i="66"/>
  <c r="X27" i="66" s="1"/>
  <c r="N27" i="66"/>
  <c r="L27" i="66"/>
  <c r="H27" i="66"/>
  <c r="D27" i="66"/>
  <c r="B27" i="66"/>
  <c r="T26" i="66"/>
  <c r="P26" i="66"/>
  <c r="X26" i="66" s="1"/>
  <c r="H26" i="66"/>
  <c r="D26" i="66"/>
  <c r="L26" i="66" s="1"/>
  <c r="N26" i="66" s="1"/>
  <c r="B26" i="66"/>
  <c r="T25" i="66"/>
  <c r="P25" i="66"/>
  <c r="X25" i="66" s="1"/>
  <c r="Z25" i="66" s="1"/>
  <c r="H25" i="66"/>
  <c r="D25" i="66"/>
  <c r="B25" i="66"/>
  <c r="X24" i="66"/>
  <c r="T24" i="66"/>
  <c r="Z24" i="66" s="1"/>
  <c r="P24" i="66"/>
  <c r="N24" i="66"/>
  <c r="H24" i="66"/>
  <c r="D24" i="66"/>
  <c r="L24" i="66" s="1"/>
  <c r="B24" i="66"/>
  <c r="Z23" i="66"/>
  <c r="X23" i="66"/>
  <c r="T23" i="66"/>
  <c r="P23" i="66"/>
  <c r="H23" i="66"/>
  <c r="D23" i="66"/>
  <c r="L23" i="66" s="1"/>
  <c r="B23" i="66"/>
  <c r="T22" i="66"/>
  <c r="P22" i="66"/>
  <c r="X22" i="66" s="1"/>
  <c r="Z22" i="66" s="1"/>
  <c r="L22" i="66"/>
  <c r="H22" i="66"/>
  <c r="N22" i="66" s="1"/>
  <c r="D22" i="66"/>
  <c r="B22" i="66"/>
  <c r="T21" i="66"/>
  <c r="Z21" i="66" s="1"/>
  <c r="P21" i="66"/>
  <c r="H21" i="66"/>
  <c r="N21" i="66" s="1"/>
  <c r="D21" i="66"/>
  <c r="B21" i="66"/>
  <c r="T20" i="66"/>
  <c r="P20" i="66"/>
  <c r="X20" i="66" s="1"/>
  <c r="Z20" i="66" s="1"/>
  <c r="L20" i="66"/>
  <c r="H20" i="66"/>
  <c r="N20" i="66" s="1"/>
  <c r="D20" i="66"/>
  <c r="B20" i="66"/>
  <c r="T19" i="66"/>
  <c r="P19" i="66"/>
  <c r="X19" i="66" s="1"/>
  <c r="N19" i="66"/>
  <c r="L19" i="66"/>
  <c r="H19" i="66"/>
  <c r="D19" i="66"/>
  <c r="B19" i="66"/>
  <c r="X18" i="66"/>
  <c r="T18" i="66"/>
  <c r="P18" i="66"/>
  <c r="H18" i="66"/>
  <c r="D18" i="66"/>
  <c r="L18" i="66" s="1"/>
  <c r="N18" i="66" s="1"/>
  <c r="B18" i="66"/>
  <c r="T17" i="66"/>
  <c r="Z17" i="66" s="1"/>
  <c r="P17" i="66"/>
  <c r="X17" i="66" s="1"/>
  <c r="H17" i="66"/>
  <c r="D17" i="66"/>
  <c r="B17" i="66"/>
  <c r="X16" i="66"/>
  <c r="T16" i="66"/>
  <c r="Z16" i="66" s="1"/>
  <c r="P16" i="66"/>
  <c r="H16" i="66"/>
  <c r="D16" i="66"/>
  <c r="L16" i="66" s="1"/>
  <c r="N16" i="66" s="1"/>
  <c r="B16" i="66"/>
  <c r="Z15" i="66"/>
  <c r="X15" i="66"/>
  <c r="T15" i="66"/>
  <c r="P15" i="66"/>
  <c r="H15" i="66"/>
  <c r="D15" i="66"/>
  <c r="L15" i="66" s="1"/>
  <c r="B15" i="66"/>
  <c r="T14" i="66"/>
  <c r="P14" i="66"/>
  <c r="X14" i="66" s="1"/>
  <c r="Z14" i="66" s="1"/>
  <c r="H14" i="66"/>
  <c r="D14" i="66"/>
  <c r="L14" i="66" s="1"/>
  <c r="B14" i="66"/>
  <c r="T13" i="66"/>
  <c r="P13" i="66"/>
  <c r="H13" i="66"/>
  <c r="D13" i="66"/>
  <c r="B13" i="66"/>
  <c r="D6" i="66"/>
  <c r="D4" i="66"/>
  <c r="Z34" i="65"/>
  <c r="X34" i="65"/>
  <c r="N34" i="65"/>
  <c r="L34" i="65"/>
  <c r="F34" i="65"/>
  <c r="T32" i="65"/>
  <c r="D32" i="65"/>
  <c r="T30" i="65"/>
  <c r="Z30" i="65" s="1"/>
  <c r="P30" i="65"/>
  <c r="X30" i="65" s="1"/>
  <c r="L30" i="65"/>
  <c r="H30" i="65"/>
  <c r="N30" i="65" s="1"/>
  <c r="D30" i="65"/>
  <c r="X28" i="65"/>
  <c r="Z28" i="65" s="1"/>
  <c r="N28" i="65"/>
  <c r="L28" i="65"/>
  <c r="F28" i="65"/>
  <c r="B28" i="65"/>
  <c r="V27" i="65"/>
  <c r="T27" i="65"/>
  <c r="P27" i="65"/>
  <c r="X27" i="65" s="1"/>
  <c r="Z27" i="65" s="1"/>
  <c r="J27" i="65"/>
  <c r="H27" i="65"/>
  <c r="F27" i="65"/>
  <c r="D27" i="65"/>
  <c r="L27" i="65" s="1"/>
  <c r="N27" i="65" s="1"/>
  <c r="B27" i="65"/>
  <c r="X26" i="65"/>
  <c r="Z26" i="65" s="1"/>
  <c r="N26" i="65"/>
  <c r="L26" i="65"/>
  <c r="B26" i="65"/>
  <c r="Z25" i="65"/>
  <c r="X25" i="65"/>
  <c r="V25" i="65"/>
  <c r="N25" i="65"/>
  <c r="L25" i="65"/>
  <c r="B25" i="65"/>
  <c r="X24" i="65"/>
  <c r="T24" i="65"/>
  <c r="P24" i="65"/>
  <c r="H24" i="65"/>
  <c r="D24" i="65"/>
  <c r="B24" i="65"/>
  <c r="X23" i="65"/>
  <c r="Z23" i="65" s="1"/>
  <c r="V23" i="65"/>
  <c r="N23" i="65"/>
  <c r="L23" i="65"/>
  <c r="J23" i="65"/>
  <c r="F23" i="65"/>
  <c r="B23" i="65"/>
  <c r="X22" i="65"/>
  <c r="Z22" i="65" s="1"/>
  <c r="N22" i="65"/>
  <c r="L22" i="65"/>
  <c r="B22" i="65"/>
  <c r="V21" i="65"/>
  <c r="T21" i="65"/>
  <c r="P21" i="65"/>
  <c r="X21" i="65" s="1"/>
  <c r="Z21" i="65" s="1"/>
  <c r="L21" i="65"/>
  <c r="N21" i="65" s="1"/>
  <c r="H21" i="65"/>
  <c r="F21" i="65"/>
  <c r="D21" i="65"/>
  <c r="B21" i="65"/>
  <c r="Z20" i="65"/>
  <c r="X20" i="65"/>
  <c r="L20" i="65"/>
  <c r="N20" i="65" s="1"/>
  <c r="F20" i="65"/>
  <c r="B20" i="65"/>
  <c r="X19" i="65"/>
  <c r="Z19" i="65" s="1"/>
  <c r="V19" i="65"/>
  <c r="T19" i="65"/>
  <c r="P19" i="65"/>
  <c r="N19" i="65"/>
  <c r="L19" i="65"/>
  <c r="H19" i="65"/>
  <c r="F19" i="65"/>
  <c r="D19" i="65"/>
  <c r="B19" i="65"/>
  <c r="X18" i="65"/>
  <c r="V18" i="65"/>
  <c r="T18" i="65"/>
  <c r="Z18" i="65" s="1"/>
  <c r="P18" i="65"/>
  <c r="H18" i="65"/>
  <c r="F18" i="65"/>
  <c r="D18" i="65"/>
  <c r="T16" i="65"/>
  <c r="Z16" i="65" s="1"/>
  <c r="D16" i="65"/>
  <c r="X14" i="65"/>
  <c r="V14" i="65"/>
  <c r="T14" i="65"/>
  <c r="Z14" i="65" s="1"/>
  <c r="P14" i="65"/>
  <c r="L14" i="65"/>
  <c r="H14" i="65"/>
  <c r="F14" i="65"/>
  <c r="D14" i="65"/>
  <c r="Z12" i="65"/>
  <c r="T12" i="65"/>
  <c r="V36" i="65" s="1"/>
  <c r="P12" i="65"/>
  <c r="L12" i="65"/>
  <c r="H12" i="65"/>
  <c r="J36" i="65" s="1"/>
  <c r="D12" i="65"/>
  <c r="F26" i="65" s="1"/>
  <c r="D6" i="65"/>
  <c r="D4" i="65"/>
  <c r="X83" i="64"/>
  <c r="Z83" i="64" s="1"/>
  <c r="N83" i="64"/>
  <c r="L83" i="64"/>
  <c r="T79" i="64"/>
  <c r="Z79" i="64" s="1"/>
  <c r="P79" i="64"/>
  <c r="X79" i="64" s="1"/>
  <c r="L79" i="64"/>
  <c r="H79" i="64"/>
  <c r="N79" i="64" s="1"/>
  <c r="D79" i="64"/>
  <c r="X77" i="64"/>
  <c r="Z77" i="64" s="1"/>
  <c r="N77" i="64"/>
  <c r="L77" i="64"/>
  <c r="B77" i="64"/>
  <c r="T76" i="64"/>
  <c r="P76" i="64"/>
  <c r="X76" i="64" s="1"/>
  <c r="Z76" i="64" s="1"/>
  <c r="H76" i="64"/>
  <c r="D76" i="64"/>
  <c r="L76" i="64" s="1"/>
  <c r="N76" i="64" s="1"/>
  <c r="B76" i="64"/>
  <c r="X75" i="64"/>
  <c r="Z75" i="64" s="1"/>
  <c r="L75" i="64"/>
  <c r="N75" i="64" s="1"/>
  <c r="B75" i="64"/>
  <c r="T74" i="64"/>
  <c r="P74" i="64"/>
  <c r="X74" i="64" s="1"/>
  <c r="Z74" i="64" s="1"/>
  <c r="H74" i="64"/>
  <c r="D74" i="64"/>
  <c r="L74" i="64" s="1"/>
  <c r="N74" i="64" s="1"/>
  <c r="B74" i="64"/>
  <c r="Z73" i="64"/>
  <c r="X73" i="64"/>
  <c r="L73" i="64"/>
  <c r="N73" i="64" s="1"/>
  <c r="B73" i="64"/>
  <c r="Z72" i="64"/>
  <c r="X72" i="64"/>
  <c r="N72" i="64"/>
  <c r="L72" i="64"/>
  <c r="B72" i="64"/>
  <c r="X71" i="64"/>
  <c r="Z71" i="64" s="1"/>
  <c r="N71" i="64"/>
  <c r="L71" i="64"/>
  <c r="B71" i="64"/>
  <c r="Z70" i="64"/>
  <c r="X70" i="64"/>
  <c r="N70" i="64"/>
  <c r="L70" i="64"/>
  <c r="B70" i="64"/>
  <c r="T69" i="64"/>
  <c r="P69" i="64"/>
  <c r="H69" i="64"/>
  <c r="D69" i="64"/>
  <c r="L69" i="64" s="1"/>
  <c r="B69" i="64"/>
  <c r="Z68" i="64"/>
  <c r="X68" i="64"/>
  <c r="N68" i="64"/>
  <c r="L68" i="64"/>
  <c r="B68" i="64"/>
  <c r="X67" i="64"/>
  <c r="Z67" i="64" s="1"/>
  <c r="N67" i="64"/>
  <c r="L67" i="64"/>
  <c r="B67" i="64"/>
  <c r="T66" i="64"/>
  <c r="P66" i="64"/>
  <c r="X66" i="64" s="1"/>
  <c r="Z66" i="64" s="1"/>
  <c r="N66" i="64"/>
  <c r="L66" i="64"/>
  <c r="H66" i="64"/>
  <c r="D66" i="64"/>
  <c r="B66" i="64"/>
  <c r="Z65" i="64"/>
  <c r="X65" i="64"/>
  <c r="N65" i="64"/>
  <c r="L65" i="64"/>
  <c r="B65" i="64"/>
  <c r="Z64" i="64"/>
  <c r="X64" i="64"/>
  <c r="N64" i="64"/>
  <c r="L64" i="64"/>
  <c r="B64" i="64"/>
  <c r="T63" i="64"/>
  <c r="P63" i="64"/>
  <c r="H63" i="64"/>
  <c r="N63" i="64" s="1"/>
  <c r="D63" i="64"/>
  <c r="L63" i="64" s="1"/>
  <c r="B63" i="64"/>
  <c r="Z62" i="64"/>
  <c r="X62" i="64"/>
  <c r="N62" i="64"/>
  <c r="L62" i="64"/>
  <c r="B62" i="64"/>
  <c r="T61" i="64"/>
  <c r="Z61" i="64" s="1"/>
  <c r="P61" i="64"/>
  <c r="X61" i="64" s="1"/>
  <c r="L61" i="64"/>
  <c r="H61" i="64"/>
  <c r="N61" i="64" s="1"/>
  <c r="D61" i="64"/>
  <c r="B61" i="64"/>
  <c r="Z60" i="64"/>
  <c r="X60" i="64"/>
  <c r="N60" i="64"/>
  <c r="L60" i="64"/>
  <c r="B60" i="64"/>
  <c r="X59" i="64"/>
  <c r="T59" i="64"/>
  <c r="Z59" i="64" s="1"/>
  <c r="P59" i="64"/>
  <c r="L59" i="64"/>
  <c r="H59" i="64"/>
  <c r="N59" i="64" s="1"/>
  <c r="D59" i="64"/>
  <c r="B59" i="64"/>
  <c r="Z58" i="64"/>
  <c r="X58" i="64"/>
  <c r="N58" i="64"/>
  <c r="L58" i="64"/>
  <c r="B58" i="64"/>
  <c r="T57" i="64"/>
  <c r="Z57" i="64" s="1"/>
  <c r="P57" i="64"/>
  <c r="H57" i="64"/>
  <c r="N57" i="64" s="1"/>
  <c r="D57" i="64"/>
  <c r="L57" i="64" s="1"/>
  <c r="B57" i="64"/>
  <c r="Z56" i="64"/>
  <c r="X56" i="64"/>
  <c r="N56" i="64"/>
  <c r="L56" i="64"/>
  <c r="B56" i="64"/>
  <c r="Z55" i="64"/>
  <c r="X55" i="64"/>
  <c r="N55" i="64"/>
  <c r="L55" i="64"/>
  <c r="B55" i="64"/>
  <c r="T54" i="64"/>
  <c r="P54" i="64"/>
  <c r="X54" i="64" s="1"/>
  <c r="Z54" i="64" s="1"/>
  <c r="H54" i="64"/>
  <c r="D54" i="64"/>
  <c r="L54" i="64" s="1"/>
  <c r="N54" i="64" s="1"/>
  <c r="B54" i="64"/>
  <c r="Z53" i="64"/>
  <c r="X53" i="64"/>
  <c r="N53" i="64"/>
  <c r="L53" i="64"/>
  <c r="B53" i="64"/>
  <c r="T52" i="64"/>
  <c r="P52" i="64"/>
  <c r="X52" i="64" s="1"/>
  <c r="Z52" i="64" s="1"/>
  <c r="N52" i="64"/>
  <c r="L52" i="64"/>
  <c r="H52" i="64"/>
  <c r="D52" i="64"/>
  <c r="B52" i="64"/>
  <c r="X51" i="64"/>
  <c r="Z51" i="64" s="1"/>
  <c r="L51" i="64"/>
  <c r="N51" i="64" s="1"/>
  <c r="B51" i="64"/>
  <c r="Z50" i="64"/>
  <c r="X50" i="64"/>
  <c r="T50" i="64"/>
  <c r="P50" i="64"/>
  <c r="H50" i="64"/>
  <c r="L50" i="64" s="1"/>
  <c r="N50" i="64" s="1"/>
  <c r="D50" i="64"/>
  <c r="B50" i="64"/>
  <c r="Z49" i="64"/>
  <c r="X49" i="64"/>
  <c r="N49" i="64"/>
  <c r="L49" i="64"/>
  <c r="B49" i="64"/>
  <c r="Z48" i="64"/>
  <c r="X48" i="64"/>
  <c r="N48" i="64"/>
  <c r="L48" i="64"/>
  <c r="B48" i="64"/>
  <c r="X47" i="64"/>
  <c r="Z47" i="64" s="1"/>
  <c r="L47" i="64"/>
  <c r="N47" i="64" s="1"/>
  <c r="B47" i="64"/>
  <c r="Z46" i="64"/>
  <c r="X46" i="64"/>
  <c r="T46" i="64"/>
  <c r="P46" i="64"/>
  <c r="H46" i="64"/>
  <c r="L46" i="64" s="1"/>
  <c r="N46" i="64" s="1"/>
  <c r="D46" i="64"/>
  <c r="B46" i="64"/>
  <c r="X45" i="64"/>
  <c r="Z45" i="64" s="1"/>
  <c r="N45" i="64"/>
  <c r="L45" i="64"/>
  <c r="B45" i="64"/>
  <c r="Z44" i="64"/>
  <c r="X44" i="64"/>
  <c r="L44" i="64"/>
  <c r="N44" i="64" s="1"/>
  <c r="B44" i="64"/>
  <c r="X43" i="64"/>
  <c r="Z43" i="64" s="1"/>
  <c r="L43" i="64"/>
  <c r="N43" i="64" s="1"/>
  <c r="B43" i="64"/>
  <c r="Z42" i="64"/>
  <c r="X42" i="64"/>
  <c r="T42" i="64"/>
  <c r="P42" i="64"/>
  <c r="H42" i="64"/>
  <c r="L42" i="64" s="1"/>
  <c r="N42" i="64" s="1"/>
  <c r="D42" i="64"/>
  <c r="B42" i="64"/>
  <c r="T41" i="64"/>
  <c r="P41" i="64"/>
  <c r="H41" i="64"/>
  <c r="D41" i="64"/>
  <c r="L41" i="64" s="1"/>
  <c r="X37" i="64"/>
  <c r="Z37" i="64" s="1"/>
  <c r="N37" i="64"/>
  <c r="L37" i="64"/>
  <c r="B37" i="64"/>
  <c r="Z36" i="64"/>
  <c r="X36" i="64"/>
  <c r="N36" i="64"/>
  <c r="L36" i="64"/>
  <c r="B36" i="64"/>
  <c r="X35" i="64"/>
  <c r="Z35" i="64" s="1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Z32" i="64"/>
  <c r="X32" i="64"/>
  <c r="N32" i="64"/>
  <c r="L32" i="64"/>
  <c r="J32" i="64"/>
  <c r="B32" i="64"/>
  <c r="X31" i="64"/>
  <c r="Z31" i="64" s="1"/>
  <c r="L31" i="64"/>
  <c r="N31" i="64" s="1"/>
  <c r="B31" i="64"/>
  <c r="Z30" i="64"/>
  <c r="X30" i="64"/>
  <c r="N30" i="64"/>
  <c r="L30" i="64"/>
  <c r="B30" i="64"/>
  <c r="X29" i="64"/>
  <c r="Z29" i="64" s="1"/>
  <c r="N29" i="64"/>
  <c r="L29" i="64"/>
  <c r="B29" i="64"/>
  <c r="Z28" i="64"/>
  <c r="X28" i="64"/>
  <c r="N28" i="64"/>
  <c r="L28" i="64"/>
  <c r="B28" i="64"/>
  <c r="X27" i="64"/>
  <c r="T27" i="64"/>
  <c r="Z27" i="64" s="1"/>
  <c r="P27" i="64"/>
  <c r="L27" i="64"/>
  <c r="H27" i="64"/>
  <c r="D27" i="64"/>
  <c r="T25" i="64"/>
  <c r="Z25" i="64" s="1"/>
  <c r="P25" i="64"/>
  <c r="X25" i="64" s="1"/>
  <c r="L25" i="64"/>
  <c r="H25" i="64"/>
  <c r="N25" i="64" s="1"/>
  <c r="D25" i="64"/>
  <c r="B25" i="64"/>
  <c r="T24" i="64"/>
  <c r="P24" i="64"/>
  <c r="N24" i="64"/>
  <c r="L24" i="64"/>
  <c r="H24" i="64"/>
  <c r="D24" i="64"/>
  <c r="B24" i="64"/>
  <c r="X23" i="64"/>
  <c r="Z23" i="64" s="1"/>
  <c r="T23" i="64"/>
  <c r="P23" i="64"/>
  <c r="N23" i="64"/>
  <c r="H23" i="64"/>
  <c r="D23" i="64"/>
  <c r="L23" i="64" s="1"/>
  <c r="B23" i="64"/>
  <c r="T22" i="64"/>
  <c r="Z22" i="64" s="1"/>
  <c r="P22" i="64"/>
  <c r="H22" i="64"/>
  <c r="N22" i="64" s="1"/>
  <c r="D22" i="64"/>
  <c r="L22" i="64" s="1"/>
  <c r="B22" i="64"/>
  <c r="X21" i="64"/>
  <c r="T21" i="64"/>
  <c r="Z21" i="64" s="1"/>
  <c r="P21" i="64"/>
  <c r="H21" i="64"/>
  <c r="N21" i="64" s="1"/>
  <c r="D21" i="64"/>
  <c r="L21" i="64" s="1"/>
  <c r="B21" i="64"/>
  <c r="Z20" i="64"/>
  <c r="X20" i="64"/>
  <c r="T20" i="64"/>
  <c r="P20" i="64"/>
  <c r="H20" i="64"/>
  <c r="D20" i="64"/>
  <c r="B20" i="64"/>
  <c r="T19" i="64"/>
  <c r="P19" i="64"/>
  <c r="X19" i="64" s="1"/>
  <c r="Z19" i="64" s="1"/>
  <c r="N19" i="64"/>
  <c r="H19" i="64"/>
  <c r="D19" i="64"/>
  <c r="L19" i="64" s="1"/>
  <c r="B19" i="64"/>
  <c r="T18" i="64"/>
  <c r="P18" i="64"/>
  <c r="X18" i="64" s="1"/>
  <c r="N18" i="64"/>
  <c r="H18" i="64"/>
  <c r="D18" i="64"/>
  <c r="L18" i="64" s="1"/>
  <c r="B18" i="64"/>
  <c r="T17" i="64"/>
  <c r="P17" i="64"/>
  <c r="X17" i="64" s="1"/>
  <c r="L17" i="64"/>
  <c r="H17" i="64"/>
  <c r="N17" i="64" s="1"/>
  <c r="D17" i="64"/>
  <c r="B17" i="64"/>
  <c r="T16" i="64"/>
  <c r="P16" i="64"/>
  <c r="N16" i="64"/>
  <c r="L16" i="64"/>
  <c r="H16" i="64"/>
  <c r="D16" i="64"/>
  <c r="B16" i="64"/>
  <c r="T15" i="64"/>
  <c r="P15" i="64"/>
  <c r="X15" i="64" s="1"/>
  <c r="Z15" i="64" s="1"/>
  <c r="N15" i="64"/>
  <c r="H15" i="64"/>
  <c r="D15" i="64"/>
  <c r="L15" i="64" s="1"/>
  <c r="B15" i="64"/>
  <c r="T14" i="64"/>
  <c r="P14" i="64"/>
  <c r="X14" i="64" s="1"/>
  <c r="Z14" i="64" s="1"/>
  <c r="H14" i="64"/>
  <c r="N14" i="64" s="1"/>
  <c r="D14" i="64"/>
  <c r="L14" i="64" s="1"/>
  <c r="B14" i="64"/>
  <c r="X13" i="64"/>
  <c r="T13" i="64"/>
  <c r="P13" i="64"/>
  <c r="H13" i="64"/>
  <c r="D13" i="64"/>
  <c r="B13" i="64"/>
  <c r="H12" i="64"/>
  <c r="D6" i="64"/>
  <c r="D4" i="64"/>
  <c r="V101" i="62"/>
  <c r="R101" i="62"/>
  <c r="F101" i="62"/>
  <c r="Z99" i="62"/>
  <c r="X99" i="62"/>
  <c r="N99" i="62"/>
  <c r="L99" i="62"/>
  <c r="T95" i="62"/>
  <c r="P95" i="62"/>
  <c r="X95" i="62" s="1"/>
  <c r="Z95" i="62" s="1"/>
  <c r="H95" i="62"/>
  <c r="F95" i="62"/>
  <c r="D95" i="62"/>
  <c r="B95" i="62"/>
  <c r="T94" i="62"/>
  <c r="Z94" i="62" s="1"/>
  <c r="P94" i="62"/>
  <c r="X94" i="62" s="1"/>
  <c r="H94" i="62"/>
  <c r="D94" i="62"/>
  <c r="L94" i="62" s="1"/>
  <c r="X92" i="62"/>
  <c r="Z92" i="62" s="1"/>
  <c r="R92" i="62"/>
  <c r="N92" i="62"/>
  <c r="L92" i="62"/>
  <c r="B92" i="62"/>
  <c r="T91" i="62"/>
  <c r="P91" i="62"/>
  <c r="X91" i="62" s="1"/>
  <c r="Z91" i="62" s="1"/>
  <c r="N91" i="62"/>
  <c r="H91" i="62"/>
  <c r="D91" i="62"/>
  <c r="L91" i="62" s="1"/>
  <c r="B91" i="62"/>
  <c r="X90" i="62"/>
  <c r="Z90" i="62" s="1"/>
  <c r="R90" i="62"/>
  <c r="N90" i="62"/>
  <c r="L90" i="62"/>
  <c r="B90" i="62"/>
  <c r="Z89" i="62"/>
  <c r="X89" i="62"/>
  <c r="N89" i="62"/>
  <c r="L89" i="62"/>
  <c r="B89" i="62"/>
  <c r="X88" i="62"/>
  <c r="T88" i="62"/>
  <c r="P88" i="62"/>
  <c r="H88" i="62"/>
  <c r="N88" i="62" s="1"/>
  <c r="D88" i="62"/>
  <c r="L88" i="62" s="1"/>
  <c r="B88" i="62"/>
  <c r="X87" i="62"/>
  <c r="Z87" i="62" s="1"/>
  <c r="N87" i="62"/>
  <c r="L87" i="62"/>
  <c r="B87" i="62"/>
  <c r="T86" i="62"/>
  <c r="P86" i="62"/>
  <c r="X86" i="62" s="1"/>
  <c r="H86" i="62"/>
  <c r="N86" i="62" s="1"/>
  <c r="D86" i="62"/>
  <c r="B86" i="62"/>
  <c r="Z85" i="62"/>
  <c r="X85" i="62"/>
  <c r="N85" i="62"/>
  <c r="L85" i="62"/>
  <c r="B85" i="62"/>
  <c r="T84" i="62"/>
  <c r="P84" i="62"/>
  <c r="X84" i="62" s="1"/>
  <c r="H84" i="62"/>
  <c r="D84" i="62"/>
  <c r="L84" i="62" s="1"/>
  <c r="B84" i="62"/>
  <c r="Z83" i="62"/>
  <c r="X83" i="62"/>
  <c r="N83" i="62"/>
  <c r="L83" i="62"/>
  <c r="B83" i="62"/>
  <c r="X82" i="62"/>
  <c r="Z82" i="62" s="1"/>
  <c r="N82" i="62"/>
  <c r="L82" i="62"/>
  <c r="B82" i="62"/>
  <c r="Z81" i="62"/>
  <c r="X81" i="62"/>
  <c r="N81" i="62"/>
  <c r="L81" i="62"/>
  <c r="B81" i="62"/>
  <c r="Z80" i="62"/>
  <c r="X80" i="62"/>
  <c r="L80" i="62"/>
  <c r="N80" i="62" s="1"/>
  <c r="F80" i="62"/>
  <c r="B80" i="62"/>
  <c r="Z79" i="62"/>
  <c r="X79" i="62"/>
  <c r="N79" i="62"/>
  <c r="L79" i="62"/>
  <c r="B79" i="62"/>
  <c r="X78" i="62"/>
  <c r="Z78" i="62" s="1"/>
  <c r="R78" i="62"/>
  <c r="L78" i="62"/>
  <c r="N78" i="62" s="1"/>
  <c r="B78" i="62"/>
  <c r="T77" i="62"/>
  <c r="R77" i="62"/>
  <c r="P77" i="62"/>
  <c r="X77" i="62" s="1"/>
  <c r="Z77" i="62" s="1"/>
  <c r="H77" i="62"/>
  <c r="D77" i="62"/>
  <c r="L77" i="62" s="1"/>
  <c r="B77" i="62"/>
  <c r="Z76" i="62"/>
  <c r="X76" i="62"/>
  <c r="R76" i="62"/>
  <c r="N76" i="62"/>
  <c r="L76" i="62"/>
  <c r="B76" i="62"/>
  <c r="T75" i="62"/>
  <c r="Z75" i="62" s="1"/>
  <c r="R75" i="62"/>
  <c r="P75" i="62"/>
  <c r="X75" i="62" s="1"/>
  <c r="N75" i="62"/>
  <c r="L75" i="62"/>
  <c r="H75" i="62"/>
  <c r="D75" i="62"/>
  <c r="B75" i="62"/>
  <c r="X74" i="62"/>
  <c r="Z74" i="62" s="1"/>
  <c r="V74" i="62"/>
  <c r="L74" i="62"/>
  <c r="N74" i="62" s="1"/>
  <c r="B74" i="62"/>
  <c r="Z73" i="62"/>
  <c r="X73" i="62"/>
  <c r="N73" i="62"/>
  <c r="L73" i="62"/>
  <c r="B73" i="62"/>
  <c r="Z72" i="62"/>
  <c r="X72" i="62"/>
  <c r="L72" i="62"/>
  <c r="N72" i="62" s="1"/>
  <c r="B72" i="62"/>
  <c r="V71" i="62"/>
  <c r="T71" i="62"/>
  <c r="Z71" i="62" s="1"/>
  <c r="P71" i="62"/>
  <c r="X71" i="62" s="1"/>
  <c r="N71" i="62"/>
  <c r="L71" i="62"/>
  <c r="H71" i="62"/>
  <c r="F71" i="62"/>
  <c r="D71" i="62"/>
  <c r="B71" i="62"/>
  <c r="X70" i="62"/>
  <c r="Z70" i="62" s="1"/>
  <c r="L70" i="62"/>
  <c r="N70" i="62" s="1"/>
  <c r="B70" i="62"/>
  <c r="Z69" i="62"/>
  <c r="X69" i="62"/>
  <c r="N69" i="62"/>
  <c r="L69" i="62"/>
  <c r="B69" i="62"/>
  <c r="Z68" i="62"/>
  <c r="X68" i="62"/>
  <c r="R68" i="62"/>
  <c r="L68" i="62"/>
  <c r="N68" i="62" s="1"/>
  <c r="B68" i="62"/>
  <c r="X67" i="62"/>
  <c r="Z67" i="62" s="1"/>
  <c r="N67" i="62"/>
  <c r="L67" i="62"/>
  <c r="F67" i="62"/>
  <c r="B67" i="62"/>
  <c r="T66" i="62"/>
  <c r="P66" i="62"/>
  <c r="X66" i="62" s="1"/>
  <c r="H66" i="62"/>
  <c r="D66" i="62"/>
  <c r="L66" i="62" s="1"/>
  <c r="N66" i="62" s="1"/>
  <c r="B66" i="62"/>
  <c r="X65" i="62"/>
  <c r="Z65" i="62" s="1"/>
  <c r="N65" i="62"/>
  <c r="L65" i="62"/>
  <c r="F65" i="62"/>
  <c r="B65" i="62"/>
  <c r="T64" i="62"/>
  <c r="P64" i="62"/>
  <c r="X64" i="62" s="1"/>
  <c r="Z64" i="62" s="1"/>
  <c r="H64" i="62"/>
  <c r="D64" i="62"/>
  <c r="L64" i="62" s="1"/>
  <c r="N64" i="62" s="1"/>
  <c r="B64" i="62"/>
  <c r="Z63" i="62"/>
  <c r="X63" i="62"/>
  <c r="N63" i="62"/>
  <c r="L63" i="62"/>
  <c r="B63" i="62"/>
  <c r="T62" i="62"/>
  <c r="Z62" i="62" s="1"/>
  <c r="P62" i="62"/>
  <c r="X62" i="62" s="1"/>
  <c r="N62" i="62"/>
  <c r="H62" i="62"/>
  <c r="D62" i="62"/>
  <c r="L62" i="62" s="1"/>
  <c r="B62" i="62"/>
  <c r="X61" i="62"/>
  <c r="Z61" i="62" s="1"/>
  <c r="N61" i="62"/>
  <c r="L61" i="62"/>
  <c r="F61" i="62"/>
  <c r="B61" i="62"/>
  <c r="Z60" i="62"/>
  <c r="T60" i="62"/>
  <c r="P60" i="62"/>
  <c r="X60" i="62" s="1"/>
  <c r="N60" i="62"/>
  <c r="L60" i="62"/>
  <c r="H60" i="62"/>
  <c r="D60" i="62"/>
  <c r="B60" i="62"/>
  <c r="X59" i="62"/>
  <c r="Z59" i="62" s="1"/>
  <c r="V59" i="62"/>
  <c r="R59" i="62"/>
  <c r="N59" i="62"/>
  <c r="L59" i="62"/>
  <c r="B59" i="62"/>
  <c r="Z58" i="62"/>
  <c r="X58" i="62"/>
  <c r="V58" i="62"/>
  <c r="T58" i="62"/>
  <c r="P58" i="62"/>
  <c r="J58" i="62"/>
  <c r="H58" i="62"/>
  <c r="N58" i="62" s="1"/>
  <c r="F58" i="62"/>
  <c r="D58" i="62"/>
  <c r="B58" i="62"/>
  <c r="Z57" i="62"/>
  <c r="X57" i="62"/>
  <c r="R57" i="62"/>
  <c r="L57" i="62"/>
  <c r="N57" i="62" s="1"/>
  <c r="B57" i="62"/>
  <c r="V56" i="62"/>
  <c r="T56" i="62"/>
  <c r="R56" i="62"/>
  <c r="P56" i="62"/>
  <c r="H56" i="62"/>
  <c r="F56" i="62"/>
  <c r="D56" i="62"/>
  <c r="L56" i="62" s="1"/>
  <c r="B56" i="62"/>
  <c r="Z55" i="62"/>
  <c r="X55" i="62"/>
  <c r="L55" i="62"/>
  <c r="N55" i="62" s="1"/>
  <c r="F55" i="62"/>
  <c r="B55" i="62"/>
  <c r="T54" i="62"/>
  <c r="Z54" i="62" s="1"/>
  <c r="R54" i="62"/>
  <c r="P54" i="62"/>
  <c r="X54" i="62" s="1"/>
  <c r="H54" i="62"/>
  <c r="D54" i="62"/>
  <c r="L54" i="62" s="1"/>
  <c r="N54" i="62" s="1"/>
  <c r="B54" i="62"/>
  <c r="Z53" i="62"/>
  <c r="X53" i="62"/>
  <c r="N53" i="62"/>
  <c r="L53" i="62"/>
  <c r="F53" i="62"/>
  <c r="B53" i="62"/>
  <c r="Z52" i="62"/>
  <c r="T52" i="62"/>
  <c r="P52" i="62"/>
  <c r="X52" i="62" s="1"/>
  <c r="N52" i="62"/>
  <c r="L52" i="62"/>
  <c r="H52" i="62"/>
  <c r="D52" i="62"/>
  <c r="B52" i="62"/>
  <c r="Z51" i="62"/>
  <c r="X51" i="62"/>
  <c r="V51" i="62"/>
  <c r="R51" i="62"/>
  <c r="N51" i="62"/>
  <c r="L51" i="62"/>
  <c r="B51" i="62"/>
  <c r="Z50" i="62"/>
  <c r="X50" i="62"/>
  <c r="V50" i="62"/>
  <c r="T50" i="62"/>
  <c r="P50" i="62"/>
  <c r="H50" i="62"/>
  <c r="N50" i="62" s="1"/>
  <c r="F50" i="62"/>
  <c r="D50" i="62"/>
  <c r="B50" i="62"/>
  <c r="Z49" i="62"/>
  <c r="X49" i="62"/>
  <c r="R49" i="62"/>
  <c r="N49" i="62"/>
  <c r="L49" i="62"/>
  <c r="B49" i="62"/>
  <c r="V48" i="62"/>
  <c r="T48" i="62"/>
  <c r="Z48" i="62" s="1"/>
  <c r="R48" i="62"/>
  <c r="P48" i="62"/>
  <c r="H48" i="62"/>
  <c r="N48" i="62" s="1"/>
  <c r="F48" i="62"/>
  <c r="D48" i="62"/>
  <c r="L48" i="62" s="1"/>
  <c r="B48" i="62"/>
  <c r="Z47" i="62"/>
  <c r="X47" i="62"/>
  <c r="L47" i="62"/>
  <c r="N47" i="62" s="1"/>
  <c r="F47" i="62"/>
  <c r="B47" i="62"/>
  <c r="X46" i="62"/>
  <c r="Z46" i="62" s="1"/>
  <c r="N46" i="62"/>
  <c r="L46" i="62"/>
  <c r="B46" i="62"/>
  <c r="V45" i="62"/>
  <c r="T45" i="62"/>
  <c r="R45" i="62"/>
  <c r="P45" i="62"/>
  <c r="H45" i="62"/>
  <c r="F45" i="62"/>
  <c r="D45" i="62"/>
  <c r="L45" i="62" s="1"/>
  <c r="B45" i="62"/>
  <c r="Z44" i="62"/>
  <c r="X44" i="62"/>
  <c r="L44" i="62"/>
  <c r="N44" i="62" s="1"/>
  <c r="F44" i="62"/>
  <c r="B44" i="62"/>
  <c r="T43" i="62"/>
  <c r="Z43" i="62" s="1"/>
  <c r="P43" i="62"/>
  <c r="X43" i="62" s="1"/>
  <c r="L43" i="62"/>
  <c r="N43" i="62" s="1"/>
  <c r="H43" i="62"/>
  <c r="D43" i="62"/>
  <c r="B43" i="62"/>
  <c r="Z42" i="62"/>
  <c r="X42" i="62"/>
  <c r="V42" i="62"/>
  <c r="L42" i="62"/>
  <c r="N42" i="62" s="1"/>
  <c r="F42" i="62"/>
  <c r="B42" i="62"/>
  <c r="X41" i="62"/>
  <c r="Z41" i="62" s="1"/>
  <c r="T41" i="62"/>
  <c r="P41" i="62"/>
  <c r="H41" i="62"/>
  <c r="D41" i="62"/>
  <c r="B41" i="62"/>
  <c r="Z40" i="62"/>
  <c r="X40" i="62"/>
  <c r="V40" i="62"/>
  <c r="R40" i="62"/>
  <c r="N40" i="62"/>
  <c r="L40" i="62"/>
  <c r="B40" i="62"/>
  <c r="V39" i="62"/>
  <c r="T39" i="62"/>
  <c r="P39" i="62"/>
  <c r="H39" i="62"/>
  <c r="N39" i="62" s="1"/>
  <c r="F39" i="62"/>
  <c r="D39" i="62"/>
  <c r="L39" i="62" s="1"/>
  <c r="B39" i="62"/>
  <c r="Z38" i="62"/>
  <c r="X38" i="62"/>
  <c r="N38" i="62"/>
  <c r="L38" i="62"/>
  <c r="B38" i="62"/>
  <c r="Z37" i="62"/>
  <c r="X37" i="62"/>
  <c r="V37" i="62"/>
  <c r="R37" i="62"/>
  <c r="L37" i="62"/>
  <c r="N37" i="62" s="1"/>
  <c r="B37" i="62"/>
  <c r="X36" i="62"/>
  <c r="Z36" i="62" s="1"/>
  <c r="V36" i="62"/>
  <c r="R36" i="62"/>
  <c r="N36" i="62"/>
  <c r="L36" i="62"/>
  <c r="F36" i="62"/>
  <c r="B36" i="62"/>
  <c r="X35" i="62"/>
  <c r="Z35" i="62" s="1"/>
  <c r="V35" i="62"/>
  <c r="R35" i="62"/>
  <c r="L35" i="62"/>
  <c r="N35" i="62" s="1"/>
  <c r="B35" i="62"/>
  <c r="Z34" i="62"/>
  <c r="X34" i="62"/>
  <c r="V34" i="62"/>
  <c r="N34" i="62"/>
  <c r="L34" i="62"/>
  <c r="F34" i="62"/>
  <c r="B34" i="62"/>
  <c r="X33" i="62"/>
  <c r="Z33" i="62" s="1"/>
  <c r="N33" i="62"/>
  <c r="L33" i="62"/>
  <c r="F33" i="62"/>
  <c r="B33" i="62"/>
  <c r="Z32" i="62"/>
  <c r="X32" i="62"/>
  <c r="L32" i="62"/>
  <c r="N32" i="62" s="1"/>
  <c r="F32" i="62"/>
  <c r="B32" i="62"/>
  <c r="T31" i="62"/>
  <c r="Z31" i="62" s="1"/>
  <c r="P31" i="62"/>
  <c r="X31" i="62" s="1"/>
  <c r="L31" i="62"/>
  <c r="N31" i="62" s="1"/>
  <c r="H31" i="62"/>
  <c r="F31" i="62"/>
  <c r="D31" i="62"/>
  <c r="B31" i="62"/>
  <c r="Z30" i="62"/>
  <c r="X30" i="62"/>
  <c r="V30" i="62"/>
  <c r="L30" i="62"/>
  <c r="N30" i="62" s="1"/>
  <c r="F30" i="62"/>
  <c r="B30" i="62"/>
  <c r="X29" i="62"/>
  <c r="Z29" i="62" s="1"/>
  <c r="N29" i="62"/>
  <c r="L29" i="62"/>
  <c r="F29" i="62"/>
  <c r="B29" i="62"/>
  <c r="Z28" i="62"/>
  <c r="X28" i="62"/>
  <c r="L28" i="62"/>
  <c r="N28" i="62" s="1"/>
  <c r="F28" i="62"/>
  <c r="B28" i="62"/>
  <c r="Z27" i="62"/>
  <c r="X27" i="62"/>
  <c r="N27" i="62"/>
  <c r="L27" i="62"/>
  <c r="F27" i="62"/>
  <c r="B27" i="62"/>
  <c r="X26" i="62"/>
  <c r="Z26" i="62" s="1"/>
  <c r="N26" i="62"/>
  <c r="L26" i="62"/>
  <c r="B26" i="62"/>
  <c r="Z25" i="62"/>
  <c r="X25" i="62"/>
  <c r="V25" i="62"/>
  <c r="R25" i="62"/>
  <c r="L25" i="62"/>
  <c r="N25" i="62" s="1"/>
  <c r="B25" i="62"/>
  <c r="X24" i="62"/>
  <c r="Z24" i="62" s="1"/>
  <c r="V24" i="62"/>
  <c r="R24" i="62"/>
  <c r="N24" i="62"/>
  <c r="L24" i="62"/>
  <c r="F24" i="62"/>
  <c r="B24" i="62"/>
  <c r="X23" i="62"/>
  <c r="Z23" i="62" s="1"/>
  <c r="V23" i="62"/>
  <c r="R23" i="62"/>
  <c r="L23" i="62"/>
  <c r="N23" i="62" s="1"/>
  <c r="F23" i="62"/>
  <c r="B23" i="62"/>
  <c r="Z22" i="62"/>
  <c r="X22" i="62"/>
  <c r="V22" i="62"/>
  <c r="L22" i="62"/>
  <c r="N22" i="62" s="1"/>
  <c r="F22" i="62"/>
  <c r="B22" i="62"/>
  <c r="X21" i="62"/>
  <c r="Z21" i="62" s="1"/>
  <c r="N21" i="62"/>
  <c r="L21" i="62"/>
  <c r="F21" i="62"/>
  <c r="B21" i="62"/>
  <c r="Z20" i="62"/>
  <c r="T20" i="62"/>
  <c r="P20" i="62"/>
  <c r="X20" i="62" s="1"/>
  <c r="N20" i="62"/>
  <c r="L20" i="62"/>
  <c r="H20" i="62"/>
  <c r="D20" i="62"/>
  <c r="B20" i="62"/>
  <c r="V19" i="62"/>
  <c r="T19" i="62"/>
  <c r="X19" i="62" s="1"/>
  <c r="P19" i="62"/>
  <c r="H19" i="62"/>
  <c r="F19" i="62"/>
  <c r="D19" i="62"/>
  <c r="L19" i="62" s="1"/>
  <c r="V17" i="62"/>
  <c r="P17" i="62"/>
  <c r="F17" i="62"/>
  <c r="D17" i="62"/>
  <c r="Z15" i="62"/>
  <c r="X15" i="62"/>
  <c r="V15" i="62"/>
  <c r="R15" i="62"/>
  <c r="N15" i="62"/>
  <c r="L15" i="62"/>
  <c r="F15" i="62"/>
  <c r="B15" i="62"/>
  <c r="Z14" i="62"/>
  <c r="X14" i="62"/>
  <c r="V14" i="62"/>
  <c r="T14" i="62"/>
  <c r="P14" i="62"/>
  <c r="H14" i="62"/>
  <c r="N14" i="62" s="1"/>
  <c r="F14" i="62"/>
  <c r="D14" i="62"/>
  <c r="T12" i="62"/>
  <c r="V91" i="62" s="1"/>
  <c r="P12" i="62"/>
  <c r="H12" i="62"/>
  <c r="D12" i="62"/>
  <c r="F92" i="62" s="1"/>
  <c r="D6" i="62"/>
  <c r="D4" i="62"/>
  <c r="V51" i="61"/>
  <c r="R51" i="61"/>
  <c r="F51" i="61"/>
  <c r="Z46" i="61"/>
  <c r="X46" i="61"/>
  <c r="V46" i="61"/>
  <c r="R46" i="61"/>
  <c r="N46" i="61"/>
  <c r="L46" i="61"/>
  <c r="V44" i="61"/>
  <c r="T44" i="61"/>
  <c r="T48" i="61" s="1"/>
  <c r="T51" i="61" s="1"/>
  <c r="R44" i="61"/>
  <c r="F44" i="61"/>
  <c r="D44" i="61"/>
  <c r="D48" i="61" s="1"/>
  <c r="Z42" i="61"/>
  <c r="T42" i="61"/>
  <c r="P42" i="61"/>
  <c r="X42" i="61" s="1"/>
  <c r="N42" i="61"/>
  <c r="L42" i="61"/>
  <c r="J42" i="61"/>
  <c r="H42" i="61"/>
  <c r="D42" i="61"/>
  <c r="X40" i="61"/>
  <c r="Z40" i="61" s="1"/>
  <c r="V40" i="61"/>
  <c r="R40" i="61"/>
  <c r="N40" i="61"/>
  <c r="L40" i="61"/>
  <c r="B40" i="61"/>
  <c r="V39" i="61"/>
  <c r="T39" i="61"/>
  <c r="P39" i="61"/>
  <c r="H39" i="61"/>
  <c r="F39" i="61"/>
  <c r="D39" i="61"/>
  <c r="B39" i="61"/>
  <c r="Z38" i="61"/>
  <c r="X38" i="61"/>
  <c r="N38" i="61"/>
  <c r="L38" i="61"/>
  <c r="J38" i="61"/>
  <c r="B38" i="61"/>
  <c r="V37" i="61"/>
  <c r="T37" i="61"/>
  <c r="Z37" i="61" s="1"/>
  <c r="R37" i="61"/>
  <c r="P37" i="61"/>
  <c r="H37" i="61"/>
  <c r="N37" i="61" s="1"/>
  <c r="F37" i="61"/>
  <c r="D37" i="61"/>
  <c r="L37" i="61" s="1"/>
  <c r="B37" i="61"/>
  <c r="Z36" i="61"/>
  <c r="X36" i="61"/>
  <c r="N36" i="61"/>
  <c r="L36" i="61"/>
  <c r="J36" i="61"/>
  <c r="F36" i="61"/>
  <c r="B36" i="61"/>
  <c r="T35" i="61"/>
  <c r="Z35" i="61" s="1"/>
  <c r="P35" i="61"/>
  <c r="X35" i="61" s="1"/>
  <c r="N35" i="61"/>
  <c r="L35" i="61"/>
  <c r="H35" i="61"/>
  <c r="D35" i="61"/>
  <c r="B35" i="61"/>
  <c r="Z34" i="61"/>
  <c r="X34" i="61"/>
  <c r="V34" i="61"/>
  <c r="L34" i="61"/>
  <c r="N34" i="61" s="1"/>
  <c r="F34" i="61"/>
  <c r="B34" i="61"/>
  <c r="X33" i="61"/>
  <c r="Z33" i="61" s="1"/>
  <c r="T33" i="61"/>
  <c r="P33" i="61"/>
  <c r="L33" i="61"/>
  <c r="H33" i="61"/>
  <c r="D33" i="61"/>
  <c r="B33" i="61"/>
  <c r="X32" i="61"/>
  <c r="Z32" i="61" s="1"/>
  <c r="V32" i="61"/>
  <c r="R32" i="61"/>
  <c r="N32" i="61"/>
  <c r="L32" i="61"/>
  <c r="B32" i="61"/>
  <c r="X31" i="61"/>
  <c r="V31" i="61"/>
  <c r="T31" i="61"/>
  <c r="P31" i="61"/>
  <c r="H31" i="61"/>
  <c r="F31" i="61"/>
  <c r="D31" i="61"/>
  <c r="B31" i="61"/>
  <c r="X30" i="61"/>
  <c r="Z30" i="61" s="1"/>
  <c r="N30" i="61"/>
  <c r="L30" i="61"/>
  <c r="J30" i="61"/>
  <c r="B30" i="61"/>
  <c r="Z29" i="61"/>
  <c r="X29" i="61"/>
  <c r="V29" i="61"/>
  <c r="R29" i="61"/>
  <c r="L29" i="61"/>
  <c r="N29" i="61" s="1"/>
  <c r="B29" i="61"/>
  <c r="X28" i="61"/>
  <c r="Z28" i="61" s="1"/>
  <c r="V28" i="61"/>
  <c r="R28" i="61"/>
  <c r="N28" i="61"/>
  <c r="L28" i="61"/>
  <c r="B28" i="61"/>
  <c r="V27" i="61"/>
  <c r="T27" i="61"/>
  <c r="P27" i="61"/>
  <c r="H27" i="61"/>
  <c r="F27" i="61"/>
  <c r="D27" i="61"/>
  <c r="B27" i="61"/>
  <c r="Z26" i="61"/>
  <c r="X26" i="61"/>
  <c r="N26" i="61"/>
  <c r="L26" i="61"/>
  <c r="J26" i="61"/>
  <c r="B26" i="61"/>
  <c r="Z25" i="61"/>
  <c r="X25" i="61"/>
  <c r="V25" i="61"/>
  <c r="R25" i="61"/>
  <c r="L25" i="61"/>
  <c r="N25" i="61" s="1"/>
  <c r="B25" i="61"/>
  <c r="X24" i="61"/>
  <c r="Z24" i="61" s="1"/>
  <c r="V24" i="61"/>
  <c r="R24" i="61"/>
  <c r="N24" i="61"/>
  <c r="L24" i="61"/>
  <c r="B24" i="61"/>
  <c r="X23" i="61"/>
  <c r="Z23" i="61" s="1"/>
  <c r="V23" i="61"/>
  <c r="R23" i="61"/>
  <c r="L23" i="61"/>
  <c r="N23" i="61" s="1"/>
  <c r="B23" i="61"/>
  <c r="Z22" i="61"/>
  <c r="X22" i="61"/>
  <c r="V22" i="61"/>
  <c r="L22" i="61"/>
  <c r="N22" i="61" s="1"/>
  <c r="F22" i="61"/>
  <c r="B22" i="61"/>
  <c r="X21" i="61"/>
  <c r="Z21" i="61" s="1"/>
  <c r="N21" i="61"/>
  <c r="L21" i="61"/>
  <c r="F21" i="61"/>
  <c r="B21" i="61"/>
  <c r="Z20" i="61"/>
  <c r="X20" i="61"/>
  <c r="L20" i="61"/>
  <c r="N20" i="61" s="1"/>
  <c r="J20" i="61"/>
  <c r="F20" i="61"/>
  <c r="B20" i="61"/>
  <c r="T19" i="61"/>
  <c r="P19" i="61"/>
  <c r="X19" i="61" s="1"/>
  <c r="L19" i="61"/>
  <c r="N19" i="61" s="1"/>
  <c r="H19" i="61"/>
  <c r="D19" i="61"/>
  <c r="B19" i="61"/>
  <c r="Z18" i="61"/>
  <c r="X18" i="61"/>
  <c r="V18" i="61"/>
  <c r="T18" i="61"/>
  <c r="P18" i="61"/>
  <c r="J18" i="61"/>
  <c r="H18" i="61"/>
  <c r="F18" i="61"/>
  <c r="D18" i="61"/>
  <c r="T16" i="61"/>
  <c r="Z16" i="61" s="1"/>
  <c r="R16" i="61"/>
  <c r="P16" i="61"/>
  <c r="P44" i="61" s="1"/>
  <c r="D16" i="61"/>
  <c r="Z14" i="61"/>
  <c r="X14" i="61"/>
  <c r="V14" i="61"/>
  <c r="T14" i="61"/>
  <c r="P14" i="61"/>
  <c r="J14" i="61"/>
  <c r="H14" i="61"/>
  <c r="N14" i="61" s="1"/>
  <c r="F14" i="61"/>
  <c r="D14" i="61"/>
  <c r="T12" i="61"/>
  <c r="V33" i="61" s="1"/>
  <c r="P12" i="61"/>
  <c r="R39" i="61" s="1"/>
  <c r="N12" i="61"/>
  <c r="H12" i="61"/>
  <c r="D12" i="61"/>
  <c r="F38" i="61" s="1"/>
  <c r="D6" i="61"/>
  <c r="D4" i="61"/>
  <c r="V52" i="60"/>
  <c r="R52" i="60"/>
  <c r="F52" i="60"/>
  <c r="J49" i="60"/>
  <c r="Z47" i="60"/>
  <c r="X47" i="60"/>
  <c r="V47" i="60"/>
  <c r="N47" i="60"/>
  <c r="L47" i="60"/>
  <c r="V45" i="60"/>
  <c r="F45" i="60"/>
  <c r="Z43" i="60"/>
  <c r="T43" i="60"/>
  <c r="P43" i="60"/>
  <c r="X43" i="60" s="1"/>
  <c r="N43" i="60"/>
  <c r="L43" i="60"/>
  <c r="J43" i="60"/>
  <c r="H43" i="60"/>
  <c r="D43" i="60"/>
  <c r="X41" i="60"/>
  <c r="Z41" i="60" s="1"/>
  <c r="V41" i="60"/>
  <c r="N41" i="60"/>
  <c r="L41" i="60"/>
  <c r="B41" i="60"/>
  <c r="X40" i="60"/>
  <c r="V40" i="60"/>
  <c r="T40" i="60"/>
  <c r="P40" i="60"/>
  <c r="H40" i="60"/>
  <c r="F40" i="60"/>
  <c r="D40" i="60"/>
  <c r="B40" i="60"/>
  <c r="X39" i="60"/>
  <c r="Z39" i="60" s="1"/>
  <c r="N39" i="60"/>
  <c r="L39" i="60"/>
  <c r="J39" i="60"/>
  <c r="B39" i="60"/>
  <c r="Z38" i="60"/>
  <c r="X38" i="60"/>
  <c r="N38" i="60"/>
  <c r="L38" i="60"/>
  <c r="B38" i="60"/>
  <c r="V37" i="60"/>
  <c r="T37" i="60"/>
  <c r="R37" i="60"/>
  <c r="P37" i="60"/>
  <c r="H37" i="60"/>
  <c r="N37" i="60" s="1"/>
  <c r="F37" i="60"/>
  <c r="D37" i="60"/>
  <c r="L37" i="60" s="1"/>
  <c r="B37" i="60"/>
  <c r="X36" i="60"/>
  <c r="Z36" i="60" s="1"/>
  <c r="L36" i="60"/>
  <c r="N36" i="60" s="1"/>
  <c r="J36" i="60"/>
  <c r="F36" i="60"/>
  <c r="B36" i="60"/>
  <c r="X35" i="60"/>
  <c r="Z35" i="60" s="1"/>
  <c r="N35" i="60"/>
  <c r="L35" i="60"/>
  <c r="J35" i="60"/>
  <c r="B35" i="60"/>
  <c r="T34" i="60"/>
  <c r="P34" i="60"/>
  <c r="J34" i="60"/>
  <c r="H34" i="60"/>
  <c r="D34" i="60"/>
  <c r="L34" i="60" s="1"/>
  <c r="N34" i="60" s="1"/>
  <c r="B34" i="60"/>
  <c r="Z33" i="60"/>
  <c r="X33" i="60"/>
  <c r="L33" i="60"/>
  <c r="N33" i="60" s="1"/>
  <c r="J33" i="60"/>
  <c r="F33" i="60"/>
  <c r="B33" i="60"/>
  <c r="T32" i="60"/>
  <c r="P32" i="60"/>
  <c r="X32" i="60" s="1"/>
  <c r="L32" i="60"/>
  <c r="N32" i="60" s="1"/>
  <c r="H32" i="60"/>
  <c r="D32" i="60"/>
  <c r="B32" i="60"/>
  <c r="Z31" i="60"/>
  <c r="X31" i="60"/>
  <c r="V31" i="60"/>
  <c r="N31" i="60"/>
  <c r="L31" i="60"/>
  <c r="B31" i="60"/>
  <c r="Z30" i="60"/>
  <c r="X30" i="60"/>
  <c r="T30" i="60"/>
  <c r="P30" i="60"/>
  <c r="J30" i="60"/>
  <c r="H30" i="60"/>
  <c r="N30" i="60" s="1"/>
  <c r="D30" i="60"/>
  <c r="B30" i="60"/>
  <c r="X29" i="60"/>
  <c r="Z29" i="60" s="1"/>
  <c r="V29" i="60"/>
  <c r="N29" i="60"/>
  <c r="L29" i="60"/>
  <c r="F29" i="60"/>
  <c r="B29" i="60"/>
  <c r="X28" i="60"/>
  <c r="V28" i="60"/>
  <c r="T28" i="60"/>
  <c r="P28" i="60"/>
  <c r="J28" i="60"/>
  <c r="H28" i="60"/>
  <c r="F28" i="60"/>
  <c r="D28" i="60"/>
  <c r="L28" i="60" s="1"/>
  <c r="B28" i="60"/>
  <c r="X27" i="60"/>
  <c r="Z27" i="60" s="1"/>
  <c r="N27" i="60"/>
  <c r="L27" i="60"/>
  <c r="J27" i="60"/>
  <c r="B27" i="60"/>
  <c r="Z26" i="60"/>
  <c r="X26" i="60"/>
  <c r="R26" i="60"/>
  <c r="L26" i="60"/>
  <c r="N26" i="60" s="1"/>
  <c r="B26" i="60"/>
  <c r="X25" i="60"/>
  <c r="Z25" i="60" s="1"/>
  <c r="V25" i="60"/>
  <c r="N25" i="60"/>
  <c r="L25" i="60"/>
  <c r="F25" i="60"/>
  <c r="B25" i="60"/>
  <c r="X24" i="60"/>
  <c r="Z24" i="60" s="1"/>
  <c r="V24" i="60"/>
  <c r="L24" i="60"/>
  <c r="N24" i="60" s="1"/>
  <c r="J24" i="60"/>
  <c r="B24" i="60"/>
  <c r="Z23" i="60"/>
  <c r="X23" i="60"/>
  <c r="V23" i="60"/>
  <c r="L23" i="60"/>
  <c r="N23" i="60" s="1"/>
  <c r="B23" i="60"/>
  <c r="X22" i="60"/>
  <c r="Z22" i="60" s="1"/>
  <c r="N22" i="60"/>
  <c r="L22" i="60"/>
  <c r="J22" i="60"/>
  <c r="F22" i="60"/>
  <c r="B22" i="60"/>
  <c r="Z21" i="60"/>
  <c r="X21" i="60"/>
  <c r="L21" i="60"/>
  <c r="N21" i="60" s="1"/>
  <c r="J21" i="60"/>
  <c r="F21" i="60"/>
  <c r="B21" i="60"/>
  <c r="X20" i="60"/>
  <c r="Z20" i="60" s="1"/>
  <c r="V20" i="60"/>
  <c r="L20" i="60"/>
  <c r="N20" i="60" s="1"/>
  <c r="J20" i="60"/>
  <c r="F20" i="60"/>
  <c r="B20" i="60"/>
  <c r="T19" i="60"/>
  <c r="R19" i="60"/>
  <c r="P19" i="60"/>
  <c r="X19" i="60" s="1"/>
  <c r="N19" i="60"/>
  <c r="H19" i="60"/>
  <c r="D19" i="60"/>
  <c r="L19" i="60" s="1"/>
  <c r="B19" i="60"/>
  <c r="X18" i="60"/>
  <c r="Z18" i="60" s="1"/>
  <c r="T18" i="60"/>
  <c r="P18" i="60"/>
  <c r="L18" i="60"/>
  <c r="J18" i="60"/>
  <c r="H18" i="60"/>
  <c r="D18" i="60"/>
  <c r="T16" i="60"/>
  <c r="J16" i="60"/>
  <c r="F16" i="60"/>
  <c r="D16" i="60"/>
  <c r="Z14" i="60"/>
  <c r="X14" i="60"/>
  <c r="T14" i="60"/>
  <c r="P14" i="60"/>
  <c r="J14" i="60"/>
  <c r="H14" i="60"/>
  <c r="D14" i="60"/>
  <c r="Z12" i="60"/>
  <c r="T12" i="60"/>
  <c r="V30" i="60" s="1"/>
  <c r="P12" i="60"/>
  <c r="R45" i="60" s="1"/>
  <c r="N12" i="60"/>
  <c r="L12" i="60"/>
  <c r="H12" i="60"/>
  <c r="J38" i="60" s="1"/>
  <c r="D12" i="60"/>
  <c r="F39" i="60" s="1"/>
  <c r="D6" i="60"/>
  <c r="D4" i="60"/>
  <c r="V57" i="59"/>
  <c r="Z52" i="59"/>
  <c r="X52" i="59"/>
  <c r="V52" i="59"/>
  <c r="R52" i="59"/>
  <c r="N52" i="59"/>
  <c r="L52" i="59"/>
  <c r="V50" i="59"/>
  <c r="T48" i="59"/>
  <c r="Z48" i="59" s="1"/>
  <c r="P48" i="59"/>
  <c r="X48" i="59" s="1"/>
  <c r="N48" i="59"/>
  <c r="L48" i="59"/>
  <c r="H48" i="59"/>
  <c r="D48" i="59"/>
  <c r="X46" i="59"/>
  <c r="Z46" i="59" s="1"/>
  <c r="V46" i="59"/>
  <c r="R46" i="59"/>
  <c r="L46" i="59"/>
  <c r="N46" i="59" s="1"/>
  <c r="B46" i="59"/>
  <c r="Z45" i="59"/>
  <c r="X45" i="59"/>
  <c r="V45" i="59"/>
  <c r="L45" i="59"/>
  <c r="N45" i="59" s="1"/>
  <c r="B45" i="59"/>
  <c r="X44" i="59"/>
  <c r="Z44" i="59" s="1"/>
  <c r="T44" i="59"/>
  <c r="P44" i="59"/>
  <c r="H44" i="59"/>
  <c r="D44" i="59"/>
  <c r="B44" i="59"/>
  <c r="Z43" i="59"/>
  <c r="X43" i="59"/>
  <c r="V43" i="59"/>
  <c r="R43" i="59"/>
  <c r="N43" i="59"/>
  <c r="L43" i="59"/>
  <c r="B43" i="59"/>
  <c r="V42" i="59"/>
  <c r="T42" i="59"/>
  <c r="X42" i="59" s="1"/>
  <c r="P42" i="59"/>
  <c r="H42" i="59"/>
  <c r="D42" i="59"/>
  <c r="L42" i="59" s="1"/>
  <c r="B42" i="59"/>
  <c r="Z41" i="59"/>
  <c r="X41" i="59"/>
  <c r="N41" i="59"/>
  <c r="L41" i="59"/>
  <c r="J41" i="59"/>
  <c r="B41" i="59"/>
  <c r="Z40" i="59"/>
  <c r="X40" i="59"/>
  <c r="R40" i="59"/>
  <c r="L40" i="59"/>
  <c r="N40" i="59" s="1"/>
  <c r="B40" i="59"/>
  <c r="Z39" i="59"/>
  <c r="X39" i="59"/>
  <c r="V39" i="59"/>
  <c r="R39" i="59"/>
  <c r="N39" i="59"/>
  <c r="L39" i="59"/>
  <c r="B39" i="59"/>
  <c r="X38" i="59"/>
  <c r="Z38" i="59" s="1"/>
  <c r="V38" i="59"/>
  <c r="R38" i="59"/>
  <c r="L38" i="59"/>
  <c r="N38" i="59" s="1"/>
  <c r="B38" i="59"/>
  <c r="Z37" i="59"/>
  <c r="X37" i="59"/>
  <c r="V37" i="59"/>
  <c r="T37" i="59"/>
  <c r="P37" i="59"/>
  <c r="J37" i="59"/>
  <c r="H37" i="59"/>
  <c r="D37" i="59"/>
  <c r="B37" i="59"/>
  <c r="Z36" i="59"/>
  <c r="X36" i="59"/>
  <c r="R36" i="59"/>
  <c r="L36" i="59"/>
  <c r="N36" i="59" s="1"/>
  <c r="B36" i="59"/>
  <c r="V35" i="59"/>
  <c r="T35" i="59"/>
  <c r="R35" i="59"/>
  <c r="P35" i="59"/>
  <c r="H35" i="59"/>
  <c r="D35" i="59"/>
  <c r="L35" i="59" s="1"/>
  <c r="B35" i="59"/>
  <c r="X34" i="59"/>
  <c r="Z34" i="59" s="1"/>
  <c r="L34" i="59"/>
  <c r="N34" i="59" s="1"/>
  <c r="B34" i="59"/>
  <c r="T33" i="59"/>
  <c r="R33" i="59"/>
  <c r="P33" i="59"/>
  <c r="X33" i="59" s="1"/>
  <c r="H33" i="59"/>
  <c r="D33" i="59"/>
  <c r="L33" i="59" s="1"/>
  <c r="N33" i="59" s="1"/>
  <c r="B33" i="59"/>
  <c r="Z32" i="59"/>
  <c r="X32" i="59"/>
  <c r="N32" i="59"/>
  <c r="L32" i="59"/>
  <c r="B32" i="59"/>
  <c r="Z31" i="59"/>
  <c r="X31" i="59"/>
  <c r="N31" i="59"/>
  <c r="L31" i="59"/>
  <c r="J31" i="59"/>
  <c r="B31" i="59"/>
  <c r="X30" i="59"/>
  <c r="Z30" i="59" s="1"/>
  <c r="L30" i="59"/>
  <c r="N30" i="59" s="1"/>
  <c r="F30" i="59"/>
  <c r="B30" i="59"/>
  <c r="T29" i="59"/>
  <c r="R29" i="59"/>
  <c r="P29" i="59"/>
  <c r="X29" i="59" s="1"/>
  <c r="H29" i="59"/>
  <c r="D29" i="59"/>
  <c r="L29" i="59" s="1"/>
  <c r="N29" i="59" s="1"/>
  <c r="B29" i="59"/>
  <c r="X28" i="59"/>
  <c r="Z28" i="59" s="1"/>
  <c r="N28" i="59"/>
  <c r="L28" i="59"/>
  <c r="B28" i="59"/>
  <c r="Z27" i="59"/>
  <c r="X27" i="59"/>
  <c r="L27" i="59"/>
  <c r="N27" i="59" s="1"/>
  <c r="J27" i="59"/>
  <c r="B27" i="59"/>
  <c r="Z26" i="59"/>
  <c r="X26" i="59"/>
  <c r="L26" i="59"/>
  <c r="N26" i="59" s="1"/>
  <c r="B26" i="59"/>
  <c r="X25" i="59"/>
  <c r="Z25" i="59" s="1"/>
  <c r="N25" i="59"/>
  <c r="L25" i="59"/>
  <c r="J25" i="59"/>
  <c r="B25" i="59"/>
  <c r="Z24" i="59"/>
  <c r="X24" i="59"/>
  <c r="R24" i="59"/>
  <c r="L24" i="59"/>
  <c r="N24" i="59" s="1"/>
  <c r="B24" i="59"/>
  <c r="Z23" i="59"/>
  <c r="X23" i="59"/>
  <c r="V23" i="59"/>
  <c r="R23" i="59"/>
  <c r="N23" i="59"/>
  <c r="L23" i="59"/>
  <c r="B23" i="59"/>
  <c r="X22" i="59"/>
  <c r="Z22" i="59" s="1"/>
  <c r="V22" i="59"/>
  <c r="R22" i="59"/>
  <c r="N22" i="59"/>
  <c r="L22" i="59"/>
  <c r="B22" i="59"/>
  <c r="Z21" i="59"/>
  <c r="X21" i="59"/>
  <c r="V21" i="59"/>
  <c r="L21" i="59"/>
  <c r="N21" i="59" s="1"/>
  <c r="B21" i="59"/>
  <c r="X20" i="59"/>
  <c r="Z20" i="59" s="1"/>
  <c r="N20" i="59"/>
  <c r="L20" i="59"/>
  <c r="B20" i="59"/>
  <c r="Z19" i="59"/>
  <c r="T19" i="59"/>
  <c r="P19" i="59"/>
  <c r="X19" i="59" s="1"/>
  <c r="N19" i="59"/>
  <c r="L19" i="59"/>
  <c r="J19" i="59"/>
  <c r="H19" i="59"/>
  <c r="D19" i="59"/>
  <c r="B19" i="59"/>
  <c r="V18" i="59"/>
  <c r="T18" i="59"/>
  <c r="X18" i="59" s="1"/>
  <c r="P18" i="59"/>
  <c r="H18" i="59"/>
  <c r="D18" i="59"/>
  <c r="L18" i="59" s="1"/>
  <c r="P16" i="59"/>
  <c r="V14" i="59"/>
  <c r="T14" i="59"/>
  <c r="Z14" i="59" s="1"/>
  <c r="P14" i="59"/>
  <c r="H14" i="59"/>
  <c r="N14" i="59" s="1"/>
  <c r="D14" i="59"/>
  <c r="L14" i="59" s="1"/>
  <c r="T12" i="59"/>
  <c r="V44" i="59" s="1"/>
  <c r="P12" i="59"/>
  <c r="R57" i="59" s="1"/>
  <c r="H12" i="59"/>
  <c r="J54" i="59" s="1"/>
  <c r="D12" i="59"/>
  <c r="F32" i="59" s="1"/>
  <c r="D6" i="59"/>
  <c r="D4" i="59"/>
  <c r="J68" i="58"/>
  <c r="Z66" i="58"/>
  <c r="X66" i="58"/>
  <c r="R66" i="58"/>
  <c r="N66" i="58"/>
  <c r="L66" i="58"/>
  <c r="Z62" i="58"/>
  <c r="X62" i="58"/>
  <c r="T62" i="58"/>
  <c r="P62" i="58"/>
  <c r="J62" i="58"/>
  <c r="H62" i="58"/>
  <c r="N62" i="58" s="1"/>
  <c r="D62" i="58"/>
  <c r="X60" i="58"/>
  <c r="Z60" i="58" s="1"/>
  <c r="N60" i="58"/>
  <c r="L60" i="58"/>
  <c r="B60" i="58"/>
  <c r="V59" i="58"/>
  <c r="T59" i="58"/>
  <c r="P59" i="58"/>
  <c r="H59" i="58"/>
  <c r="N59" i="58" s="1"/>
  <c r="F59" i="58"/>
  <c r="D59" i="58"/>
  <c r="L59" i="58" s="1"/>
  <c r="B59" i="58"/>
  <c r="X58" i="58"/>
  <c r="Z58" i="58" s="1"/>
  <c r="L58" i="58"/>
  <c r="N58" i="58" s="1"/>
  <c r="J58" i="58"/>
  <c r="F58" i="58"/>
  <c r="B58" i="58"/>
  <c r="T57" i="58"/>
  <c r="Z57" i="58" s="1"/>
  <c r="P57" i="58"/>
  <c r="X57" i="58" s="1"/>
  <c r="N57" i="58"/>
  <c r="H57" i="58"/>
  <c r="D57" i="58"/>
  <c r="L57" i="58" s="1"/>
  <c r="B57" i="58"/>
  <c r="Z56" i="58"/>
  <c r="X56" i="58"/>
  <c r="N56" i="58"/>
  <c r="L56" i="58"/>
  <c r="F56" i="58"/>
  <c r="B56" i="58"/>
  <c r="Z55" i="58"/>
  <c r="X55" i="58"/>
  <c r="N55" i="58"/>
  <c r="L55" i="58"/>
  <c r="J55" i="58"/>
  <c r="F55" i="58"/>
  <c r="B55" i="58"/>
  <c r="X54" i="58"/>
  <c r="Z54" i="58" s="1"/>
  <c r="L54" i="58"/>
  <c r="N54" i="58" s="1"/>
  <c r="J54" i="58"/>
  <c r="F54" i="58"/>
  <c r="B54" i="58"/>
  <c r="X53" i="58"/>
  <c r="Z53" i="58" s="1"/>
  <c r="N53" i="58"/>
  <c r="L53" i="58"/>
  <c r="J53" i="58"/>
  <c r="B53" i="58"/>
  <c r="T52" i="58"/>
  <c r="P52" i="58"/>
  <c r="X52" i="58" s="1"/>
  <c r="H52" i="58"/>
  <c r="N52" i="58" s="1"/>
  <c r="D52" i="58"/>
  <c r="L52" i="58" s="1"/>
  <c r="B52" i="58"/>
  <c r="Z51" i="58"/>
  <c r="X51" i="58"/>
  <c r="N51" i="58"/>
  <c r="L51" i="58"/>
  <c r="J51" i="58"/>
  <c r="F51" i="58"/>
  <c r="B51" i="58"/>
  <c r="T50" i="58"/>
  <c r="Z50" i="58" s="1"/>
  <c r="P50" i="58"/>
  <c r="X50" i="58" s="1"/>
  <c r="L50" i="58"/>
  <c r="N50" i="58" s="1"/>
  <c r="H50" i="58"/>
  <c r="D50" i="58"/>
  <c r="B50" i="58"/>
  <c r="Z49" i="58"/>
  <c r="X49" i="58"/>
  <c r="V49" i="58"/>
  <c r="N49" i="58"/>
  <c r="L49" i="58"/>
  <c r="B49" i="58"/>
  <c r="X48" i="58"/>
  <c r="Z48" i="58" s="1"/>
  <c r="L48" i="58"/>
  <c r="N48" i="58" s="1"/>
  <c r="F48" i="58"/>
  <c r="B48" i="58"/>
  <c r="T47" i="58"/>
  <c r="P47" i="58"/>
  <c r="X47" i="58" s="1"/>
  <c r="Z47" i="58" s="1"/>
  <c r="N47" i="58"/>
  <c r="L47" i="58"/>
  <c r="J47" i="58"/>
  <c r="H47" i="58"/>
  <c r="D47" i="58"/>
  <c r="B47" i="58"/>
  <c r="X46" i="58"/>
  <c r="Z46" i="58" s="1"/>
  <c r="L46" i="58"/>
  <c r="N46" i="58" s="1"/>
  <c r="B46" i="58"/>
  <c r="Z45" i="58"/>
  <c r="X45" i="58"/>
  <c r="V45" i="58"/>
  <c r="L45" i="58"/>
  <c r="N45" i="58" s="1"/>
  <c r="B45" i="58"/>
  <c r="X44" i="58"/>
  <c r="Z44" i="58" s="1"/>
  <c r="T44" i="58"/>
  <c r="P44" i="58"/>
  <c r="L44" i="58"/>
  <c r="J44" i="58"/>
  <c r="H44" i="58"/>
  <c r="D44" i="58"/>
  <c r="B44" i="58"/>
  <c r="Z43" i="58"/>
  <c r="X43" i="58"/>
  <c r="V43" i="58"/>
  <c r="N43" i="58"/>
  <c r="L43" i="58"/>
  <c r="B43" i="58"/>
  <c r="X42" i="58"/>
  <c r="T42" i="58"/>
  <c r="P42" i="58"/>
  <c r="H42" i="58"/>
  <c r="F42" i="58"/>
  <c r="D42" i="58"/>
  <c r="L42" i="58" s="1"/>
  <c r="B42" i="58"/>
  <c r="X41" i="58"/>
  <c r="Z41" i="58" s="1"/>
  <c r="N41" i="58"/>
  <c r="L41" i="58"/>
  <c r="J41" i="58"/>
  <c r="B41" i="58"/>
  <c r="T40" i="58"/>
  <c r="P40" i="58"/>
  <c r="X40" i="58" s="1"/>
  <c r="H40" i="58"/>
  <c r="N40" i="58" s="1"/>
  <c r="D40" i="58"/>
  <c r="L40" i="58" s="1"/>
  <c r="B40" i="58"/>
  <c r="Z39" i="58"/>
  <c r="X39" i="58"/>
  <c r="N39" i="58"/>
  <c r="L39" i="58"/>
  <c r="J39" i="58"/>
  <c r="F39" i="58"/>
  <c r="B39" i="58"/>
  <c r="T38" i="58"/>
  <c r="Z38" i="58" s="1"/>
  <c r="P38" i="58"/>
  <c r="X38" i="58" s="1"/>
  <c r="L38" i="58"/>
  <c r="N38" i="58" s="1"/>
  <c r="H38" i="58"/>
  <c r="D38" i="58"/>
  <c r="B38" i="58"/>
  <c r="Z37" i="58"/>
  <c r="X37" i="58"/>
  <c r="V37" i="58"/>
  <c r="N37" i="58"/>
  <c r="L37" i="58"/>
  <c r="B37" i="58"/>
  <c r="X36" i="58"/>
  <c r="Z36" i="58" s="1"/>
  <c r="T36" i="58"/>
  <c r="P36" i="58"/>
  <c r="L36" i="58"/>
  <c r="J36" i="58"/>
  <c r="H36" i="58"/>
  <c r="N36" i="58" s="1"/>
  <c r="D36" i="58"/>
  <c r="B36" i="58"/>
  <c r="Z35" i="58"/>
  <c r="X35" i="58"/>
  <c r="V35" i="58"/>
  <c r="N35" i="58"/>
  <c r="L35" i="58"/>
  <c r="B35" i="58"/>
  <c r="X34" i="58"/>
  <c r="T34" i="58"/>
  <c r="Z34" i="58" s="1"/>
  <c r="P34" i="58"/>
  <c r="H34" i="58"/>
  <c r="N34" i="58" s="1"/>
  <c r="F34" i="58"/>
  <c r="D34" i="58"/>
  <c r="B34" i="58"/>
  <c r="Z33" i="58"/>
  <c r="X33" i="58"/>
  <c r="N33" i="58"/>
  <c r="L33" i="58"/>
  <c r="J33" i="58"/>
  <c r="B33" i="58"/>
  <c r="X32" i="58"/>
  <c r="Z32" i="58" s="1"/>
  <c r="L32" i="58"/>
  <c r="N32" i="58" s="1"/>
  <c r="F32" i="58"/>
  <c r="B32" i="58"/>
  <c r="Z31" i="58"/>
  <c r="X31" i="58"/>
  <c r="V31" i="58"/>
  <c r="N31" i="58"/>
  <c r="L31" i="58"/>
  <c r="J31" i="58"/>
  <c r="B31" i="58"/>
  <c r="X30" i="58"/>
  <c r="Z30" i="58" s="1"/>
  <c r="L30" i="58"/>
  <c r="N30" i="58" s="1"/>
  <c r="B30" i="58"/>
  <c r="Z29" i="58"/>
  <c r="X29" i="58"/>
  <c r="V29" i="58"/>
  <c r="T29" i="58"/>
  <c r="P29" i="58"/>
  <c r="J29" i="58"/>
  <c r="H29" i="58"/>
  <c r="N29" i="58" s="1"/>
  <c r="F29" i="58"/>
  <c r="D29" i="58"/>
  <c r="L29" i="58" s="1"/>
  <c r="B29" i="58"/>
  <c r="X28" i="58"/>
  <c r="Z28" i="58" s="1"/>
  <c r="L28" i="58"/>
  <c r="N28" i="58" s="1"/>
  <c r="F28" i="58"/>
  <c r="B28" i="58"/>
  <c r="Z27" i="58"/>
  <c r="X27" i="58"/>
  <c r="V27" i="58"/>
  <c r="N27" i="58"/>
  <c r="L27" i="58"/>
  <c r="J27" i="58"/>
  <c r="B27" i="58"/>
  <c r="X26" i="58"/>
  <c r="Z26" i="58" s="1"/>
  <c r="R26" i="58"/>
  <c r="L26" i="58"/>
  <c r="N26" i="58" s="1"/>
  <c r="B26" i="58"/>
  <c r="Z25" i="58"/>
  <c r="X25" i="58"/>
  <c r="V25" i="58"/>
  <c r="N25" i="58"/>
  <c r="L25" i="58"/>
  <c r="B25" i="58"/>
  <c r="X24" i="58"/>
  <c r="Z24" i="58" s="1"/>
  <c r="L24" i="58"/>
  <c r="N24" i="58" s="1"/>
  <c r="F24" i="58"/>
  <c r="B24" i="58"/>
  <c r="Z23" i="58"/>
  <c r="X23" i="58"/>
  <c r="N23" i="58"/>
  <c r="L23" i="58"/>
  <c r="J23" i="58"/>
  <c r="F23" i="58"/>
  <c r="B23" i="58"/>
  <c r="X22" i="58"/>
  <c r="Z22" i="58" s="1"/>
  <c r="L22" i="58"/>
  <c r="N22" i="58" s="1"/>
  <c r="J22" i="58"/>
  <c r="F22" i="58"/>
  <c r="B22" i="58"/>
  <c r="Z21" i="58"/>
  <c r="X21" i="58"/>
  <c r="N21" i="58"/>
  <c r="L21" i="58"/>
  <c r="J21" i="58"/>
  <c r="B21" i="58"/>
  <c r="Z20" i="58"/>
  <c r="X20" i="58"/>
  <c r="L20" i="58"/>
  <c r="N20" i="58" s="1"/>
  <c r="F20" i="58"/>
  <c r="B20" i="58"/>
  <c r="V19" i="58"/>
  <c r="T19" i="58"/>
  <c r="P19" i="58"/>
  <c r="X19" i="58" s="1"/>
  <c r="H19" i="58"/>
  <c r="F19" i="58"/>
  <c r="D19" i="58"/>
  <c r="L19" i="58" s="1"/>
  <c r="N19" i="58" s="1"/>
  <c r="B19" i="58"/>
  <c r="T18" i="58"/>
  <c r="P18" i="58"/>
  <c r="X18" i="58" s="1"/>
  <c r="L18" i="58"/>
  <c r="N18" i="58" s="1"/>
  <c r="H18" i="58"/>
  <c r="D18" i="58"/>
  <c r="T16" i="58"/>
  <c r="Z16" i="58" s="1"/>
  <c r="H16" i="58"/>
  <c r="F16" i="58"/>
  <c r="D16" i="58"/>
  <c r="T14" i="58"/>
  <c r="Z14" i="58" s="1"/>
  <c r="P14" i="58"/>
  <c r="X14" i="58" s="1"/>
  <c r="N14" i="58"/>
  <c r="L14" i="58"/>
  <c r="H14" i="58"/>
  <c r="D14" i="58"/>
  <c r="T12" i="58"/>
  <c r="V68" i="58" s="1"/>
  <c r="P12" i="58"/>
  <c r="R57" i="58" s="1"/>
  <c r="L12" i="58"/>
  <c r="H12" i="58"/>
  <c r="J66" i="58" s="1"/>
  <c r="D12" i="58"/>
  <c r="F68" i="58" s="1"/>
  <c r="D6" i="58"/>
  <c r="D4" i="58"/>
  <c r="R63" i="57"/>
  <c r="Z61" i="57"/>
  <c r="X61" i="57"/>
  <c r="R61" i="57"/>
  <c r="N61" i="57"/>
  <c r="L61" i="57"/>
  <c r="T57" i="57"/>
  <c r="Z57" i="57" s="1"/>
  <c r="R57" i="57"/>
  <c r="P57" i="57"/>
  <c r="X57" i="57" s="1"/>
  <c r="H57" i="57"/>
  <c r="N57" i="57" s="1"/>
  <c r="D57" i="57"/>
  <c r="L57" i="57" s="1"/>
  <c r="X55" i="57"/>
  <c r="Z55" i="57" s="1"/>
  <c r="R55" i="57"/>
  <c r="L55" i="57"/>
  <c r="N55" i="57" s="1"/>
  <c r="B55" i="57"/>
  <c r="Z54" i="57"/>
  <c r="T54" i="57"/>
  <c r="P54" i="57"/>
  <c r="X54" i="57" s="1"/>
  <c r="N54" i="57"/>
  <c r="L54" i="57"/>
  <c r="H54" i="57"/>
  <c r="D54" i="57"/>
  <c r="B54" i="57"/>
  <c r="X53" i="57"/>
  <c r="Z53" i="57" s="1"/>
  <c r="V53" i="57"/>
  <c r="R53" i="57"/>
  <c r="L53" i="57"/>
  <c r="N53" i="57" s="1"/>
  <c r="B53" i="57"/>
  <c r="X52" i="57"/>
  <c r="Z52" i="57" s="1"/>
  <c r="V52" i="57"/>
  <c r="T52" i="57"/>
  <c r="R52" i="57"/>
  <c r="P52" i="57"/>
  <c r="H52" i="57"/>
  <c r="D52" i="57"/>
  <c r="B52" i="57"/>
  <c r="X51" i="57"/>
  <c r="Z51" i="57" s="1"/>
  <c r="R51" i="57"/>
  <c r="N51" i="57"/>
  <c r="L51" i="57"/>
  <c r="B51" i="57"/>
  <c r="V50" i="57"/>
  <c r="T50" i="57"/>
  <c r="R50" i="57"/>
  <c r="P50" i="57"/>
  <c r="H50" i="57"/>
  <c r="D50" i="57"/>
  <c r="L50" i="57" s="1"/>
  <c r="N50" i="57" s="1"/>
  <c r="B50" i="57"/>
  <c r="X49" i="57"/>
  <c r="Z49" i="57" s="1"/>
  <c r="L49" i="57"/>
  <c r="N49" i="57" s="1"/>
  <c r="B49" i="57"/>
  <c r="Z48" i="57"/>
  <c r="X48" i="57"/>
  <c r="N48" i="57"/>
  <c r="L48" i="57"/>
  <c r="J48" i="57"/>
  <c r="B48" i="57"/>
  <c r="T47" i="57"/>
  <c r="R47" i="57"/>
  <c r="P47" i="57"/>
  <c r="X47" i="57" s="1"/>
  <c r="H47" i="57"/>
  <c r="D47" i="57"/>
  <c r="L47" i="57" s="1"/>
  <c r="B47" i="57"/>
  <c r="Z46" i="57"/>
  <c r="X46" i="57"/>
  <c r="N46" i="57"/>
  <c r="L46" i="57"/>
  <c r="B46" i="57"/>
  <c r="T45" i="57"/>
  <c r="P45" i="57"/>
  <c r="X45" i="57" s="1"/>
  <c r="N45" i="57"/>
  <c r="L45" i="57"/>
  <c r="H45" i="57"/>
  <c r="D45" i="57"/>
  <c r="B45" i="57"/>
  <c r="Z44" i="57"/>
  <c r="X44" i="57"/>
  <c r="V44" i="57"/>
  <c r="N44" i="57"/>
  <c r="L44" i="57"/>
  <c r="B44" i="57"/>
  <c r="Z43" i="57"/>
  <c r="X43" i="57"/>
  <c r="R43" i="57"/>
  <c r="L43" i="57"/>
  <c r="N43" i="57" s="1"/>
  <c r="F43" i="57"/>
  <c r="B43" i="57"/>
  <c r="Z42" i="57"/>
  <c r="X42" i="57"/>
  <c r="N42" i="57"/>
  <c r="L42" i="57"/>
  <c r="B42" i="57"/>
  <c r="T41" i="57"/>
  <c r="Z41" i="57" s="1"/>
  <c r="P41" i="57"/>
  <c r="X41" i="57" s="1"/>
  <c r="L41" i="57"/>
  <c r="N41" i="57" s="1"/>
  <c r="H41" i="57"/>
  <c r="D41" i="57"/>
  <c r="B41" i="57"/>
  <c r="Z40" i="57"/>
  <c r="X40" i="57"/>
  <c r="V40" i="57"/>
  <c r="N40" i="57"/>
  <c r="L40" i="57"/>
  <c r="B40" i="57"/>
  <c r="X39" i="57"/>
  <c r="Z39" i="57" s="1"/>
  <c r="T39" i="57"/>
  <c r="P39" i="57"/>
  <c r="H39" i="57"/>
  <c r="L39" i="57" s="1"/>
  <c r="D39" i="57"/>
  <c r="B39" i="57"/>
  <c r="Z38" i="57"/>
  <c r="X38" i="57"/>
  <c r="V38" i="57"/>
  <c r="R38" i="57"/>
  <c r="N38" i="57"/>
  <c r="L38" i="57"/>
  <c r="B38" i="57"/>
  <c r="X37" i="57"/>
  <c r="Z37" i="57" s="1"/>
  <c r="V37" i="57"/>
  <c r="R37" i="57"/>
  <c r="N37" i="57"/>
  <c r="L37" i="57"/>
  <c r="B37" i="57"/>
  <c r="Z36" i="57"/>
  <c r="X36" i="57"/>
  <c r="V36" i="57"/>
  <c r="T36" i="57"/>
  <c r="R36" i="57"/>
  <c r="P36" i="57"/>
  <c r="H36" i="57"/>
  <c r="D36" i="57"/>
  <c r="B36" i="57"/>
  <c r="X35" i="57"/>
  <c r="Z35" i="57" s="1"/>
  <c r="R35" i="57"/>
  <c r="N35" i="57"/>
  <c r="L35" i="57"/>
  <c r="B35" i="57"/>
  <c r="V34" i="57"/>
  <c r="T34" i="57"/>
  <c r="R34" i="57"/>
  <c r="P34" i="57"/>
  <c r="H34" i="57"/>
  <c r="D34" i="57"/>
  <c r="L34" i="57" s="1"/>
  <c r="N34" i="57" s="1"/>
  <c r="B34" i="57"/>
  <c r="X33" i="57"/>
  <c r="Z33" i="57" s="1"/>
  <c r="L33" i="57"/>
  <c r="N33" i="57" s="1"/>
  <c r="B33" i="57"/>
  <c r="T32" i="57"/>
  <c r="R32" i="57"/>
  <c r="P32" i="57"/>
  <c r="X32" i="57" s="1"/>
  <c r="Z32" i="57" s="1"/>
  <c r="N32" i="57"/>
  <c r="H32" i="57"/>
  <c r="D32" i="57"/>
  <c r="L32" i="57" s="1"/>
  <c r="B32" i="57"/>
  <c r="Z31" i="57"/>
  <c r="X31" i="57"/>
  <c r="R31" i="57"/>
  <c r="L31" i="57"/>
  <c r="N31" i="57" s="1"/>
  <c r="B31" i="57"/>
  <c r="Z30" i="57"/>
  <c r="X30" i="57"/>
  <c r="N30" i="57"/>
  <c r="L30" i="57"/>
  <c r="B30" i="57"/>
  <c r="X29" i="57"/>
  <c r="Z29" i="57" s="1"/>
  <c r="L29" i="57"/>
  <c r="N29" i="57" s="1"/>
  <c r="F29" i="57"/>
  <c r="B29" i="57"/>
  <c r="T28" i="57"/>
  <c r="R28" i="57"/>
  <c r="P28" i="57"/>
  <c r="X28" i="57" s="1"/>
  <c r="Z28" i="57" s="1"/>
  <c r="H28" i="57"/>
  <c r="D28" i="57"/>
  <c r="L28" i="57" s="1"/>
  <c r="N28" i="57" s="1"/>
  <c r="B28" i="57"/>
  <c r="X27" i="57"/>
  <c r="Z27" i="57" s="1"/>
  <c r="R27" i="57"/>
  <c r="L27" i="57"/>
  <c r="N27" i="57" s="1"/>
  <c r="B27" i="57"/>
  <c r="Z26" i="57"/>
  <c r="X26" i="57"/>
  <c r="L26" i="57"/>
  <c r="N26" i="57" s="1"/>
  <c r="B26" i="57"/>
  <c r="X25" i="57"/>
  <c r="Z25" i="57" s="1"/>
  <c r="L25" i="57"/>
  <c r="N25" i="57" s="1"/>
  <c r="F25" i="57"/>
  <c r="B25" i="57"/>
  <c r="Z24" i="57"/>
  <c r="X24" i="57"/>
  <c r="N24" i="57"/>
  <c r="L24" i="57"/>
  <c r="B24" i="57"/>
  <c r="X23" i="57"/>
  <c r="Z23" i="57" s="1"/>
  <c r="R23" i="57"/>
  <c r="N23" i="57"/>
  <c r="L23" i="57"/>
  <c r="B23" i="57"/>
  <c r="X22" i="57"/>
  <c r="Z22" i="57" s="1"/>
  <c r="V22" i="57"/>
  <c r="R22" i="57"/>
  <c r="N22" i="57"/>
  <c r="L22" i="57"/>
  <c r="B22" i="57"/>
  <c r="X21" i="57"/>
  <c r="Z21" i="57" s="1"/>
  <c r="V21" i="57"/>
  <c r="R21" i="57"/>
  <c r="L21" i="57"/>
  <c r="N21" i="57" s="1"/>
  <c r="B21" i="57"/>
  <c r="Z20" i="57"/>
  <c r="X20" i="57"/>
  <c r="V20" i="57"/>
  <c r="N20" i="57"/>
  <c r="L20" i="57"/>
  <c r="B20" i="57"/>
  <c r="X19" i="57"/>
  <c r="Z19" i="57" s="1"/>
  <c r="T19" i="57"/>
  <c r="P19" i="57"/>
  <c r="H19" i="57"/>
  <c r="L19" i="57" s="1"/>
  <c r="D19" i="57"/>
  <c r="B19" i="57"/>
  <c r="V18" i="57"/>
  <c r="T18" i="57"/>
  <c r="R18" i="57"/>
  <c r="P18" i="57"/>
  <c r="H18" i="57"/>
  <c r="F18" i="57"/>
  <c r="D18" i="57"/>
  <c r="L18" i="57" s="1"/>
  <c r="N18" i="57" s="1"/>
  <c r="P16" i="57"/>
  <c r="V14" i="57"/>
  <c r="T14" i="57"/>
  <c r="R14" i="57"/>
  <c r="P14" i="57"/>
  <c r="N14" i="57"/>
  <c r="H14" i="57"/>
  <c r="D14" i="57"/>
  <c r="L14" i="57" s="1"/>
  <c r="Z12" i="57"/>
  <c r="T12" i="57"/>
  <c r="V66" i="57" s="1"/>
  <c r="P12" i="57"/>
  <c r="R44" i="57" s="1"/>
  <c r="H12" i="57"/>
  <c r="J29" i="57" s="1"/>
  <c r="D12" i="57"/>
  <c r="F61" i="57" s="1"/>
  <c r="D6" i="57"/>
  <c r="D4" i="57"/>
  <c r="R67" i="56"/>
  <c r="V64" i="56"/>
  <c r="R64" i="56"/>
  <c r="Z62" i="56"/>
  <c r="X62" i="56"/>
  <c r="N62" i="56"/>
  <c r="L62" i="56"/>
  <c r="J62" i="56"/>
  <c r="R60" i="56"/>
  <c r="P60" i="56"/>
  <c r="Z58" i="56"/>
  <c r="X58" i="56"/>
  <c r="V58" i="56"/>
  <c r="T58" i="56"/>
  <c r="R58" i="56"/>
  <c r="P58" i="56"/>
  <c r="H58" i="56"/>
  <c r="D58" i="56"/>
  <c r="Z56" i="56"/>
  <c r="X56" i="56"/>
  <c r="N56" i="56"/>
  <c r="L56" i="56"/>
  <c r="B56" i="56"/>
  <c r="T55" i="56"/>
  <c r="R55" i="56"/>
  <c r="P55" i="56"/>
  <c r="H55" i="56"/>
  <c r="D55" i="56"/>
  <c r="L55" i="56" s="1"/>
  <c r="N55" i="56" s="1"/>
  <c r="B55" i="56"/>
  <c r="Z54" i="56"/>
  <c r="X54" i="56"/>
  <c r="L54" i="56"/>
  <c r="N54" i="56" s="1"/>
  <c r="B54" i="56"/>
  <c r="X53" i="56"/>
  <c r="Z53" i="56" s="1"/>
  <c r="N53" i="56"/>
  <c r="L53" i="56"/>
  <c r="F53" i="56"/>
  <c r="B53" i="56"/>
  <c r="T52" i="56"/>
  <c r="R52" i="56"/>
  <c r="P52" i="56"/>
  <c r="X52" i="56" s="1"/>
  <c r="Z52" i="56" s="1"/>
  <c r="N52" i="56"/>
  <c r="L52" i="56"/>
  <c r="H52" i="56"/>
  <c r="D52" i="56"/>
  <c r="B52" i="56"/>
  <c r="X51" i="56"/>
  <c r="Z51" i="56" s="1"/>
  <c r="R51" i="56"/>
  <c r="N51" i="56"/>
  <c r="L51" i="56"/>
  <c r="B51" i="56"/>
  <c r="T50" i="56"/>
  <c r="P50" i="56"/>
  <c r="X50" i="56" s="1"/>
  <c r="Z50" i="56" s="1"/>
  <c r="N50" i="56"/>
  <c r="L50" i="56"/>
  <c r="H50" i="56"/>
  <c r="D50" i="56"/>
  <c r="B50" i="56"/>
  <c r="Z49" i="56"/>
  <c r="X49" i="56"/>
  <c r="V49" i="56"/>
  <c r="R49" i="56"/>
  <c r="N49" i="56"/>
  <c r="L49" i="56"/>
  <c r="B49" i="56"/>
  <c r="X48" i="56"/>
  <c r="Z48" i="56" s="1"/>
  <c r="V48" i="56"/>
  <c r="N48" i="56"/>
  <c r="L48" i="56"/>
  <c r="B48" i="56"/>
  <c r="X47" i="56"/>
  <c r="Z47" i="56" s="1"/>
  <c r="T47" i="56"/>
  <c r="P47" i="56"/>
  <c r="L47" i="56"/>
  <c r="J47" i="56"/>
  <c r="H47" i="56"/>
  <c r="D47" i="56"/>
  <c r="B47" i="56"/>
  <c r="X46" i="56"/>
  <c r="Z46" i="56" s="1"/>
  <c r="V46" i="56"/>
  <c r="R46" i="56"/>
  <c r="N46" i="56"/>
  <c r="L46" i="56"/>
  <c r="B46" i="56"/>
  <c r="X45" i="56"/>
  <c r="Z45" i="56" s="1"/>
  <c r="V45" i="56"/>
  <c r="R45" i="56"/>
  <c r="L45" i="56"/>
  <c r="N45" i="56" s="1"/>
  <c r="B45" i="56"/>
  <c r="X44" i="56"/>
  <c r="Z44" i="56" s="1"/>
  <c r="V44" i="56"/>
  <c r="T44" i="56"/>
  <c r="R44" i="56"/>
  <c r="P44" i="56"/>
  <c r="H44" i="56"/>
  <c r="F44" i="56"/>
  <c r="D44" i="56"/>
  <c r="B44" i="56"/>
  <c r="X43" i="56"/>
  <c r="Z43" i="56" s="1"/>
  <c r="R43" i="56"/>
  <c r="N43" i="56"/>
  <c r="L43" i="56"/>
  <c r="B43" i="56"/>
  <c r="V42" i="56"/>
  <c r="T42" i="56"/>
  <c r="R42" i="56"/>
  <c r="P42" i="56"/>
  <c r="H42" i="56"/>
  <c r="F42" i="56"/>
  <c r="D42" i="56"/>
  <c r="L42" i="56" s="1"/>
  <c r="N42" i="56" s="1"/>
  <c r="B42" i="56"/>
  <c r="X41" i="56"/>
  <c r="Z41" i="56" s="1"/>
  <c r="L41" i="56"/>
  <c r="N41" i="56" s="1"/>
  <c r="B41" i="56"/>
  <c r="T40" i="56"/>
  <c r="R40" i="56"/>
  <c r="P40" i="56"/>
  <c r="X40" i="56" s="1"/>
  <c r="Z40" i="56" s="1"/>
  <c r="N40" i="56"/>
  <c r="H40" i="56"/>
  <c r="D40" i="56"/>
  <c r="L40" i="56" s="1"/>
  <c r="B40" i="56"/>
  <c r="X39" i="56"/>
  <c r="Z39" i="56" s="1"/>
  <c r="R39" i="56"/>
  <c r="N39" i="56"/>
  <c r="L39" i="56"/>
  <c r="F39" i="56"/>
  <c r="B39" i="56"/>
  <c r="T38" i="56"/>
  <c r="P38" i="56"/>
  <c r="X38" i="56" s="1"/>
  <c r="Z38" i="56" s="1"/>
  <c r="L38" i="56"/>
  <c r="N38" i="56" s="1"/>
  <c r="H38" i="56"/>
  <c r="D38" i="56"/>
  <c r="B38" i="56"/>
  <c r="X37" i="56"/>
  <c r="Z37" i="56" s="1"/>
  <c r="V37" i="56"/>
  <c r="R37" i="56"/>
  <c r="L37" i="56"/>
  <c r="N37" i="56" s="1"/>
  <c r="B37" i="56"/>
  <c r="Z36" i="56"/>
  <c r="X36" i="56"/>
  <c r="V36" i="56"/>
  <c r="T36" i="56"/>
  <c r="R36" i="56"/>
  <c r="P36" i="56"/>
  <c r="H36" i="56"/>
  <c r="F36" i="56"/>
  <c r="D36" i="56"/>
  <c r="B36" i="56"/>
  <c r="Z35" i="56"/>
  <c r="X35" i="56"/>
  <c r="R35" i="56"/>
  <c r="L35" i="56"/>
  <c r="N35" i="56" s="1"/>
  <c r="B35" i="56"/>
  <c r="V34" i="56"/>
  <c r="T34" i="56"/>
  <c r="R34" i="56"/>
  <c r="P34" i="56"/>
  <c r="H34" i="56"/>
  <c r="F34" i="56"/>
  <c r="D34" i="56"/>
  <c r="L34" i="56" s="1"/>
  <c r="N34" i="56" s="1"/>
  <c r="B34" i="56"/>
  <c r="X33" i="56"/>
  <c r="Z33" i="56" s="1"/>
  <c r="N33" i="56"/>
  <c r="L33" i="56"/>
  <c r="B33" i="56"/>
  <c r="T32" i="56"/>
  <c r="R32" i="56"/>
  <c r="P32" i="56"/>
  <c r="X32" i="56" s="1"/>
  <c r="Z32" i="56" s="1"/>
  <c r="N32" i="56"/>
  <c r="H32" i="56"/>
  <c r="D32" i="56"/>
  <c r="L32" i="56" s="1"/>
  <c r="B32" i="56"/>
  <c r="X31" i="56"/>
  <c r="Z31" i="56" s="1"/>
  <c r="R31" i="56"/>
  <c r="N31" i="56"/>
  <c r="L31" i="56"/>
  <c r="B31" i="56"/>
  <c r="Z30" i="56"/>
  <c r="X30" i="56"/>
  <c r="L30" i="56"/>
  <c r="N30" i="56" s="1"/>
  <c r="B30" i="56"/>
  <c r="X29" i="56"/>
  <c r="Z29" i="56" s="1"/>
  <c r="L29" i="56"/>
  <c r="N29" i="56" s="1"/>
  <c r="F29" i="56"/>
  <c r="B29" i="56"/>
  <c r="T28" i="56"/>
  <c r="R28" i="56"/>
  <c r="P28" i="56"/>
  <c r="X28" i="56" s="1"/>
  <c r="Z28" i="56" s="1"/>
  <c r="N28" i="56"/>
  <c r="H28" i="56"/>
  <c r="D28" i="56"/>
  <c r="L28" i="56" s="1"/>
  <c r="B28" i="56"/>
  <c r="X27" i="56"/>
  <c r="Z27" i="56" s="1"/>
  <c r="R27" i="56"/>
  <c r="N27" i="56"/>
  <c r="L27" i="56"/>
  <c r="F27" i="56"/>
  <c r="B27" i="56"/>
  <c r="Z26" i="56"/>
  <c r="X26" i="56"/>
  <c r="L26" i="56"/>
  <c r="N26" i="56" s="1"/>
  <c r="B26" i="56"/>
  <c r="X25" i="56"/>
  <c r="Z25" i="56" s="1"/>
  <c r="L25" i="56"/>
  <c r="N25" i="56" s="1"/>
  <c r="F25" i="56"/>
  <c r="B25" i="56"/>
  <c r="Z24" i="56"/>
  <c r="X24" i="56"/>
  <c r="R24" i="56"/>
  <c r="N24" i="56"/>
  <c r="L24" i="56"/>
  <c r="B24" i="56"/>
  <c r="Z23" i="56"/>
  <c r="X23" i="56"/>
  <c r="R23" i="56"/>
  <c r="L23" i="56"/>
  <c r="N23" i="56" s="1"/>
  <c r="B23" i="56"/>
  <c r="X22" i="56"/>
  <c r="Z22" i="56" s="1"/>
  <c r="V22" i="56"/>
  <c r="R22" i="56"/>
  <c r="N22" i="56"/>
  <c r="L22" i="56"/>
  <c r="B22" i="56"/>
  <c r="X21" i="56"/>
  <c r="Z21" i="56" s="1"/>
  <c r="V21" i="56"/>
  <c r="R21" i="56"/>
  <c r="L21" i="56"/>
  <c r="N21" i="56" s="1"/>
  <c r="B21" i="56"/>
  <c r="X20" i="56"/>
  <c r="Z20" i="56" s="1"/>
  <c r="V20" i="56"/>
  <c r="R20" i="56"/>
  <c r="N20" i="56"/>
  <c r="L20" i="56"/>
  <c r="B20" i="56"/>
  <c r="Z19" i="56"/>
  <c r="X19" i="56"/>
  <c r="T19" i="56"/>
  <c r="P19" i="56"/>
  <c r="L19" i="56"/>
  <c r="H19" i="56"/>
  <c r="D19" i="56"/>
  <c r="B19" i="56"/>
  <c r="V18" i="56"/>
  <c r="T18" i="56"/>
  <c r="R18" i="56"/>
  <c r="P18" i="56"/>
  <c r="H18" i="56"/>
  <c r="F18" i="56"/>
  <c r="D18" i="56"/>
  <c r="L18" i="56" s="1"/>
  <c r="N18" i="56" s="1"/>
  <c r="P16" i="56"/>
  <c r="V14" i="56"/>
  <c r="T14" i="56"/>
  <c r="R14" i="56"/>
  <c r="P14" i="56"/>
  <c r="N14" i="56"/>
  <c r="H14" i="56"/>
  <c r="D14" i="56"/>
  <c r="L14" i="56" s="1"/>
  <c r="Z12" i="56"/>
  <c r="T12" i="56"/>
  <c r="V51" i="56" s="1"/>
  <c r="P12" i="56"/>
  <c r="R48" i="56" s="1"/>
  <c r="H12" i="56"/>
  <c r="D12" i="56"/>
  <c r="F41" i="56" s="1"/>
  <c r="D6" i="56"/>
  <c r="D4" i="56"/>
  <c r="R37" i="55"/>
  <c r="J37" i="55"/>
  <c r="V34" i="55"/>
  <c r="R34" i="55"/>
  <c r="J34" i="55"/>
  <c r="F34" i="55"/>
  <c r="Z32" i="55"/>
  <c r="X32" i="55"/>
  <c r="N32" i="55"/>
  <c r="L32" i="55"/>
  <c r="J32" i="55"/>
  <c r="R30" i="55"/>
  <c r="J30" i="55"/>
  <c r="Z28" i="55"/>
  <c r="X28" i="55"/>
  <c r="V28" i="55"/>
  <c r="T28" i="55"/>
  <c r="R28" i="55"/>
  <c r="P28" i="55"/>
  <c r="J28" i="55"/>
  <c r="H28" i="55"/>
  <c r="F28" i="55"/>
  <c r="D28" i="55"/>
  <c r="Z26" i="55"/>
  <c r="X26" i="55"/>
  <c r="N26" i="55"/>
  <c r="L26" i="55"/>
  <c r="J26" i="55"/>
  <c r="B26" i="55"/>
  <c r="T25" i="55"/>
  <c r="R25" i="55"/>
  <c r="P25" i="55"/>
  <c r="H25" i="55"/>
  <c r="D25" i="55"/>
  <c r="L25" i="55" s="1"/>
  <c r="N25" i="55" s="1"/>
  <c r="B25" i="55"/>
  <c r="Z24" i="55"/>
  <c r="X24" i="55"/>
  <c r="L24" i="55"/>
  <c r="N24" i="55" s="1"/>
  <c r="J24" i="55"/>
  <c r="F24" i="55"/>
  <c r="B24" i="55"/>
  <c r="T23" i="55"/>
  <c r="P23" i="55"/>
  <c r="X23" i="55" s="1"/>
  <c r="Z23" i="55" s="1"/>
  <c r="L23" i="55"/>
  <c r="N23" i="55" s="1"/>
  <c r="J23" i="55"/>
  <c r="H23" i="55"/>
  <c r="D23" i="55"/>
  <c r="B23" i="55"/>
  <c r="Z22" i="55"/>
  <c r="X22" i="55"/>
  <c r="V22" i="55"/>
  <c r="N22" i="55"/>
  <c r="L22" i="55"/>
  <c r="B22" i="55"/>
  <c r="Z21" i="55"/>
  <c r="X21" i="55"/>
  <c r="T21" i="55"/>
  <c r="P21" i="55"/>
  <c r="J21" i="55"/>
  <c r="H21" i="55"/>
  <c r="D21" i="55"/>
  <c r="B21" i="55"/>
  <c r="X20" i="55"/>
  <c r="Z20" i="55" s="1"/>
  <c r="V20" i="55"/>
  <c r="R20" i="55"/>
  <c r="N20" i="55"/>
  <c r="L20" i="55"/>
  <c r="J20" i="55"/>
  <c r="B20" i="55"/>
  <c r="T19" i="55"/>
  <c r="X19" i="55" s="1"/>
  <c r="P19" i="55"/>
  <c r="J19" i="55"/>
  <c r="H19" i="55"/>
  <c r="F19" i="55"/>
  <c r="D19" i="55"/>
  <c r="B19" i="55"/>
  <c r="T18" i="55"/>
  <c r="R18" i="55"/>
  <c r="P18" i="55"/>
  <c r="X18" i="55" s="1"/>
  <c r="Z18" i="55" s="1"/>
  <c r="N18" i="55"/>
  <c r="J18" i="55"/>
  <c r="H18" i="55"/>
  <c r="D18" i="55"/>
  <c r="L18" i="55" s="1"/>
  <c r="V16" i="55"/>
  <c r="R16" i="55"/>
  <c r="J16" i="55"/>
  <c r="H16" i="55"/>
  <c r="F16" i="55"/>
  <c r="Z14" i="55"/>
  <c r="T14" i="55"/>
  <c r="R14" i="55"/>
  <c r="P14" i="55"/>
  <c r="X14" i="55" s="1"/>
  <c r="N14" i="55"/>
  <c r="J14" i="55"/>
  <c r="H14" i="55"/>
  <c r="D14" i="55"/>
  <c r="L14" i="55" s="1"/>
  <c r="Z12" i="55"/>
  <c r="X12" i="55"/>
  <c r="T12" i="55"/>
  <c r="P12" i="55"/>
  <c r="R22" i="55" s="1"/>
  <c r="N12" i="55"/>
  <c r="H12" i="55"/>
  <c r="J25" i="55" s="1"/>
  <c r="D12" i="55"/>
  <c r="F32" i="55" s="1"/>
  <c r="D6" i="55"/>
  <c r="D4" i="55"/>
  <c r="F31" i="54"/>
  <c r="V29" i="54"/>
  <c r="T29" i="54"/>
  <c r="R29" i="54"/>
  <c r="P29" i="54"/>
  <c r="H29" i="54"/>
  <c r="F29" i="54"/>
  <c r="D29" i="54"/>
  <c r="L29" i="54" s="1"/>
  <c r="N29" i="54" s="1"/>
  <c r="T28" i="54"/>
  <c r="P28" i="54"/>
  <c r="X28" i="54" s="1"/>
  <c r="Z28" i="54" s="1"/>
  <c r="N28" i="54"/>
  <c r="L28" i="54"/>
  <c r="H28" i="54"/>
  <c r="F28" i="54"/>
  <c r="D28" i="54"/>
  <c r="V26" i="54"/>
  <c r="R26" i="54"/>
  <c r="F26" i="54"/>
  <c r="Z24" i="54"/>
  <c r="X24" i="54"/>
  <c r="N24" i="54"/>
  <c r="L24" i="54"/>
  <c r="J24" i="54"/>
  <c r="F24" i="54"/>
  <c r="J22" i="54"/>
  <c r="F22" i="54"/>
  <c r="V20" i="54"/>
  <c r="T20" i="54"/>
  <c r="R20" i="54"/>
  <c r="P20" i="54"/>
  <c r="N20" i="54"/>
  <c r="H20" i="54"/>
  <c r="F20" i="54"/>
  <c r="D20" i="54"/>
  <c r="L20" i="54" s="1"/>
  <c r="Z18" i="54"/>
  <c r="T18" i="54"/>
  <c r="P18" i="54"/>
  <c r="X18" i="54" s="1"/>
  <c r="N18" i="54"/>
  <c r="L18" i="54"/>
  <c r="J18" i="54"/>
  <c r="H18" i="54"/>
  <c r="F18" i="54"/>
  <c r="D18" i="54"/>
  <c r="R16" i="54"/>
  <c r="F16" i="54"/>
  <c r="D16" i="54"/>
  <c r="Z14" i="54"/>
  <c r="T14" i="54"/>
  <c r="P14" i="54"/>
  <c r="X14" i="54" s="1"/>
  <c r="N14" i="54"/>
  <c r="L14" i="54"/>
  <c r="J14" i="54"/>
  <c r="H14" i="54"/>
  <c r="F14" i="54"/>
  <c r="D14" i="54"/>
  <c r="T12" i="54"/>
  <c r="P12" i="54"/>
  <c r="N12" i="54"/>
  <c r="H12" i="54"/>
  <c r="D12" i="54"/>
  <c r="D6" i="54"/>
  <c r="D4" i="54"/>
  <c r="B39" i="53"/>
  <c r="B38" i="53"/>
  <c r="T34" i="53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D16" i="53"/>
  <c r="B16" i="53"/>
  <c r="T15" i="53"/>
  <c r="Z15" i="53" s="1"/>
  <c r="P15" i="53"/>
  <c r="H15" i="53"/>
  <c r="N15" i="53" s="1"/>
  <c r="D15" i="53"/>
  <c r="T13" i="53"/>
  <c r="P13" i="53"/>
  <c r="H13" i="53"/>
  <c r="D13" i="53"/>
  <c r="B13" i="53"/>
  <c r="T12" i="53"/>
  <c r="V33" i="53" s="1"/>
  <c r="P12" i="53"/>
  <c r="R20" i="53" s="1"/>
  <c r="H12" i="53"/>
  <c r="J20" i="53" s="1"/>
  <c r="D12" i="53"/>
  <c r="F22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1" i="52" s="1"/>
  <c r="P12" i="52"/>
  <c r="R33" i="52" s="1"/>
  <c r="H12" i="52"/>
  <c r="J36" i="52" s="1"/>
  <c r="D12" i="52"/>
  <c r="D5" i="52"/>
  <c r="D4" i="52"/>
  <c r="X97" i="51"/>
  <c r="Z97" i="51" s="1"/>
  <c r="L97" i="51"/>
  <c r="N97" i="51" s="1"/>
  <c r="X93" i="51"/>
  <c r="Z93" i="51" s="1"/>
  <c r="T93" i="51"/>
  <c r="P93" i="51"/>
  <c r="H93" i="51"/>
  <c r="D93" i="51"/>
  <c r="B93" i="51"/>
  <c r="T92" i="51"/>
  <c r="Z92" i="51" s="1"/>
  <c r="P92" i="51"/>
  <c r="N92" i="51"/>
  <c r="H92" i="51"/>
  <c r="D92" i="51"/>
  <c r="L92" i="51" s="1"/>
  <c r="B92" i="51"/>
  <c r="T91" i="51"/>
  <c r="X91" i="51" s="1"/>
  <c r="Z91" i="51" s="1"/>
  <c r="P91" i="51"/>
  <c r="L91" i="51"/>
  <c r="N91" i="51" s="1"/>
  <c r="H91" i="51"/>
  <c r="D91" i="51"/>
  <c r="B91" i="51"/>
  <c r="T90" i="51"/>
  <c r="D90" i="51"/>
  <c r="Z88" i="51"/>
  <c r="X88" i="51"/>
  <c r="L88" i="51"/>
  <c r="N88" i="51" s="1"/>
  <c r="B88" i="51"/>
  <c r="T87" i="51"/>
  <c r="Z87" i="51" s="1"/>
  <c r="P87" i="51"/>
  <c r="X87" i="51" s="1"/>
  <c r="N87" i="51"/>
  <c r="H87" i="51"/>
  <c r="L87" i="51" s="1"/>
  <c r="D87" i="51"/>
  <c r="B87" i="51"/>
  <c r="X86" i="51"/>
  <c r="Z86" i="51" s="1"/>
  <c r="N86" i="51"/>
  <c r="L86" i="51"/>
  <c r="B86" i="51"/>
  <c r="Z85" i="51"/>
  <c r="T85" i="51"/>
  <c r="X85" i="51" s="1"/>
  <c r="P85" i="51"/>
  <c r="L85" i="51"/>
  <c r="N85" i="51" s="1"/>
  <c r="H85" i="51"/>
  <c r="D85" i="51"/>
  <c r="B85" i="51"/>
  <c r="Z84" i="51"/>
  <c r="X84" i="51"/>
  <c r="N84" i="51"/>
  <c r="L84" i="51"/>
  <c r="B84" i="51"/>
  <c r="X83" i="51"/>
  <c r="Z83" i="51" s="1"/>
  <c r="L83" i="51"/>
  <c r="N83" i="51" s="1"/>
  <c r="B83" i="51"/>
  <c r="X82" i="51"/>
  <c r="Z82" i="51" s="1"/>
  <c r="N82" i="51"/>
  <c r="L82" i="51"/>
  <c r="B82" i="51"/>
  <c r="Z81" i="51"/>
  <c r="T81" i="51"/>
  <c r="X81" i="51" s="1"/>
  <c r="P81" i="51"/>
  <c r="L81" i="51"/>
  <c r="N81" i="51" s="1"/>
  <c r="H81" i="51"/>
  <c r="D81" i="51"/>
  <c r="B81" i="51"/>
  <c r="X80" i="51"/>
  <c r="Z80" i="51" s="1"/>
  <c r="N80" i="51"/>
  <c r="L80" i="51"/>
  <c r="B80" i="51"/>
  <c r="Z79" i="51"/>
  <c r="X79" i="51"/>
  <c r="T79" i="51"/>
  <c r="P79" i="51"/>
  <c r="H79" i="51"/>
  <c r="D79" i="51"/>
  <c r="B79" i="51"/>
  <c r="Z78" i="51"/>
  <c r="X78" i="51"/>
  <c r="N78" i="51"/>
  <c r="L78" i="51"/>
  <c r="B78" i="51"/>
  <c r="T77" i="51"/>
  <c r="P77" i="51"/>
  <c r="H77" i="51"/>
  <c r="N77" i="51" s="1"/>
  <c r="D77" i="51"/>
  <c r="L77" i="51" s="1"/>
  <c r="B77" i="51"/>
  <c r="Z76" i="51"/>
  <c r="X76" i="51"/>
  <c r="N76" i="51"/>
  <c r="L76" i="51"/>
  <c r="B76" i="51"/>
  <c r="X75" i="51"/>
  <c r="Z75" i="51" s="1"/>
  <c r="N75" i="51"/>
  <c r="L75" i="51"/>
  <c r="B75" i="51"/>
  <c r="T74" i="51"/>
  <c r="P74" i="51"/>
  <c r="H74" i="51"/>
  <c r="D74" i="51"/>
  <c r="L74" i="51" s="1"/>
  <c r="N74" i="51" s="1"/>
  <c r="B74" i="51"/>
  <c r="Z73" i="51"/>
  <c r="X73" i="51"/>
  <c r="N73" i="51"/>
  <c r="L73" i="51"/>
  <c r="B73" i="51"/>
  <c r="Z72" i="51"/>
  <c r="T72" i="51"/>
  <c r="P72" i="51"/>
  <c r="X72" i="51" s="1"/>
  <c r="N72" i="51"/>
  <c r="L72" i="51"/>
  <c r="H72" i="51"/>
  <c r="D72" i="51"/>
  <c r="B72" i="51"/>
  <c r="X71" i="51"/>
  <c r="Z71" i="51" s="1"/>
  <c r="N71" i="51"/>
  <c r="L71" i="51"/>
  <c r="B71" i="51"/>
  <c r="T70" i="51"/>
  <c r="P70" i="51"/>
  <c r="X70" i="51" s="1"/>
  <c r="H70" i="51"/>
  <c r="D70" i="51"/>
  <c r="L70" i="51" s="1"/>
  <c r="N70" i="51" s="1"/>
  <c r="B70" i="51"/>
  <c r="Z69" i="51"/>
  <c r="X69" i="51"/>
  <c r="N69" i="51"/>
  <c r="L69" i="51"/>
  <c r="B69" i="51"/>
  <c r="T68" i="51"/>
  <c r="P68" i="51"/>
  <c r="X68" i="51" s="1"/>
  <c r="Z68" i="51" s="1"/>
  <c r="N68" i="51"/>
  <c r="L68" i="51"/>
  <c r="H68" i="51"/>
  <c r="D68" i="51"/>
  <c r="B68" i="51"/>
  <c r="Z67" i="51"/>
  <c r="X67" i="51"/>
  <c r="N67" i="51"/>
  <c r="L67" i="51"/>
  <c r="B67" i="51"/>
  <c r="Z66" i="51"/>
  <c r="X66" i="51"/>
  <c r="L66" i="51"/>
  <c r="N66" i="51" s="1"/>
  <c r="B66" i="51"/>
  <c r="Z65" i="51"/>
  <c r="X65" i="51"/>
  <c r="N65" i="51"/>
  <c r="L65" i="51"/>
  <c r="B65" i="51"/>
  <c r="Z64" i="51"/>
  <c r="X64" i="51"/>
  <c r="L64" i="51"/>
  <c r="N64" i="51" s="1"/>
  <c r="B64" i="51"/>
  <c r="Z63" i="51"/>
  <c r="X63" i="51"/>
  <c r="L63" i="51"/>
  <c r="N63" i="51" s="1"/>
  <c r="B63" i="51"/>
  <c r="T62" i="51"/>
  <c r="P62" i="51"/>
  <c r="H62" i="51"/>
  <c r="D62" i="51"/>
  <c r="L62" i="51" s="1"/>
  <c r="N62" i="51" s="1"/>
  <c r="B62" i="51"/>
  <c r="Z61" i="51"/>
  <c r="X61" i="51"/>
  <c r="L61" i="51"/>
  <c r="N61" i="51" s="1"/>
  <c r="B61" i="51"/>
  <c r="Z60" i="51"/>
  <c r="X60" i="51"/>
  <c r="L60" i="51"/>
  <c r="N60" i="51" s="1"/>
  <c r="B60" i="51"/>
  <c r="Z59" i="51"/>
  <c r="X59" i="51"/>
  <c r="N59" i="51"/>
  <c r="L59" i="51"/>
  <c r="B59" i="51"/>
  <c r="X58" i="51"/>
  <c r="Z58" i="51" s="1"/>
  <c r="N58" i="51"/>
  <c r="L58" i="51"/>
  <c r="B58" i="51"/>
  <c r="X57" i="51"/>
  <c r="Z57" i="51" s="1"/>
  <c r="N57" i="51"/>
  <c r="L57" i="51"/>
  <c r="B57" i="51"/>
  <c r="X56" i="51"/>
  <c r="Z56" i="51" s="1"/>
  <c r="N56" i="51"/>
  <c r="L56" i="51"/>
  <c r="B56" i="51"/>
  <c r="Z55" i="51"/>
  <c r="X55" i="51"/>
  <c r="N55" i="51"/>
  <c r="L55" i="51"/>
  <c r="B55" i="51"/>
  <c r="Z54" i="51"/>
  <c r="X54" i="51"/>
  <c r="L54" i="51"/>
  <c r="N54" i="51" s="1"/>
  <c r="B54" i="51"/>
  <c r="Z53" i="51"/>
  <c r="X53" i="51"/>
  <c r="L53" i="51"/>
  <c r="N53" i="51" s="1"/>
  <c r="B53" i="51"/>
  <c r="T52" i="51"/>
  <c r="P52" i="51"/>
  <c r="X52" i="51" s="1"/>
  <c r="Z52" i="51" s="1"/>
  <c r="N52" i="51"/>
  <c r="L52" i="51"/>
  <c r="H52" i="51"/>
  <c r="D52" i="51"/>
  <c r="B52" i="51"/>
  <c r="X51" i="51"/>
  <c r="Z51" i="51" s="1"/>
  <c r="T51" i="51"/>
  <c r="P51" i="51"/>
  <c r="H51" i="51"/>
  <c r="D51" i="51"/>
  <c r="Z47" i="51"/>
  <c r="X47" i="51"/>
  <c r="N47" i="51"/>
  <c r="L47" i="51"/>
  <c r="B47" i="51"/>
  <c r="Z46" i="51"/>
  <c r="X46" i="51"/>
  <c r="L46" i="51"/>
  <c r="N46" i="51" s="1"/>
  <c r="B46" i="51"/>
  <c r="Z45" i="51"/>
  <c r="X45" i="51"/>
  <c r="L45" i="51"/>
  <c r="N45" i="51" s="1"/>
  <c r="B45" i="51"/>
  <c r="Z44" i="51"/>
  <c r="X44" i="51"/>
  <c r="N44" i="51"/>
  <c r="L44" i="51"/>
  <c r="B44" i="51"/>
  <c r="X43" i="51"/>
  <c r="Z43" i="51" s="1"/>
  <c r="L43" i="51"/>
  <c r="N43" i="51" s="1"/>
  <c r="B43" i="51"/>
  <c r="X42" i="51"/>
  <c r="Z42" i="51" s="1"/>
  <c r="N42" i="51"/>
  <c r="L42" i="51"/>
  <c r="B42" i="51"/>
  <c r="X41" i="51"/>
  <c r="Z41" i="51" s="1"/>
  <c r="N41" i="51"/>
  <c r="L41" i="51"/>
  <c r="B41" i="51"/>
  <c r="X40" i="51"/>
  <c r="Z40" i="51" s="1"/>
  <c r="N40" i="51"/>
  <c r="L40" i="51"/>
  <c r="B40" i="51"/>
  <c r="Z39" i="51"/>
  <c r="X39" i="51"/>
  <c r="L39" i="51"/>
  <c r="N39" i="51" s="1"/>
  <c r="B39" i="51"/>
  <c r="Z38" i="51"/>
  <c r="X38" i="51"/>
  <c r="L38" i="51"/>
  <c r="N38" i="51" s="1"/>
  <c r="B38" i="51"/>
  <c r="Z37" i="51"/>
  <c r="X37" i="51"/>
  <c r="L37" i="51"/>
  <c r="N37" i="51" s="1"/>
  <c r="B37" i="51"/>
  <c r="Z36" i="51"/>
  <c r="X36" i="51"/>
  <c r="N36" i="51"/>
  <c r="L36" i="51"/>
  <c r="B36" i="51"/>
  <c r="T35" i="51"/>
  <c r="P35" i="51"/>
  <c r="X35" i="51" s="1"/>
  <c r="N35" i="51"/>
  <c r="L35" i="51"/>
  <c r="H35" i="51"/>
  <c r="D35" i="51"/>
  <c r="Z33" i="51"/>
  <c r="X33" i="51"/>
  <c r="T33" i="51"/>
  <c r="P33" i="51"/>
  <c r="H33" i="51"/>
  <c r="N33" i="51" s="1"/>
  <c r="D33" i="51"/>
  <c r="L33" i="51" s="1"/>
  <c r="B33" i="51"/>
  <c r="Z32" i="51"/>
  <c r="X32" i="51"/>
  <c r="T32" i="51"/>
  <c r="P32" i="51"/>
  <c r="H32" i="51"/>
  <c r="N32" i="51" s="1"/>
  <c r="D32" i="51"/>
  <c r="L32" i="51" s="1"/>
  <c r="B32" i="51"/>
  <c r="Z31" i="51"/>
  <c r="X31" i="51"/>
  <c r="T31" i="51"/>
  <c r="P31" i="51"/>
  <c r="H31" i="51"/>
  <c r="N31" i="51" s="1"/>
  <c r="D31" i="51"/>
  <c r="B31" i="51"/>
  <c r="T30" i="51"/>
  <c r="P30" i="51"/>
  <c r="X30" i="51" s="1"/>
  <c r="Z30" i="51" s="1"/>
  <c r="L30" i="51"/>
  <c r="H30" i="51"/>
  <c r="D30" i="51"/>
  <c r="B30" i="51"/>
  <c r="T29" i="51"/>
  <c r="P29" i="51"/>
  <c r="X29" i="51" s="1"/>
  <c r="N29" i="51"/>
  <c r="L29" i="51"/>
  <c r="H29" i="51"/>
  <c r="D29" i="51"/>
  <c r="B29" i="51"/>
  <c r="T28" i="51"/>
  <c r="Z28" i="51" s="1"/>
  <c r="P28" i="51"/>
  <c r="X28" i="51" s="1"/>
  <c r="N28" i="51"/>
  <c r="L28" i="51"/>
  <c r="H28" i="51"/>
  <c r="D28" i="51"/>
  <c r="B28" i="51"/>
  <c r="T27" i="51"/>
  <c r="P27" i="51"/>
  <c r="X27" i="51" s="1"/>
  <c r="N27" i="51"/>
  <c r="L27" i="51"/>
  <c r="H27" i="51"/>
  <c r="D27" i="51"/>
  <c r="B27" i="51"/>
  <c r="T26" i="51"/>
  <c r="P26" i="51"/>
  <c r="H26" i="51"/>
  <c r="D26" i="51"/>
  <c r="L26" i="51" s="1"/>
  <c r="N26" i="51" s="1"/>
  <c r="B26" i="51"/>
  <c r="Z25" i="51"/>
  <c r="X25" i="51"/>
  <c r="T25" i="51"/>
  <c r="P25" i="51"/>
  <c r="H25" i="51"/>
  <c r="N25" i="51" s="1"/>
  <c r="D25" i="51"/>
  <c r="L25" i="51" s="1"/>
  <c r="B25" i="51"/>
  <c r="Z24" i="51"/>
  <c r="X24" i="51"/>
  <c r="T24" i="51"/>
  <c r="P24" i="51"/>
  <c r="H24" i="51"/>
  <c r="D24" i="51"/>
  <c r="L24" i="51" s="1"/>
  <c r="B24" i="51"/>
  <c r="Z23" i="51"/>
  <c r="X23" i="51"/>
  <c r="T23" i="51"/>
  <c r="P23" i="51"/>
  <c r="H23" i="51"/>
  <c r="D23" i="51"/>
  <c r="L23" i="51" s="1"/>
  <c r="B23" i="51"/>
  <c r="T22" i="51"/>
  <c r="P22" i="51"/>
  <c r="X22" i="51" s="1"/>
  <c r="Z22" i="51" s="1"/>
  <c r="H22" i="51"/>
  <c r="D22" i="51"/>
  <c r="B22" i="51"/>
  <c r="T21" i="51"/>
  <c r="P21" i="51"/>
  <c r="X21" i="51" s="1"/>
  <c r="L21" i="51"/>
  <c r="N21" i="51" s="1"/>
  <c r="H21" i="51"/>
  <c r="D21" i="51"/>
  <c r="B21" i="51"/>
  <c r="T20" i="51"/>
  <c r="P20" i="51"/>
  <c r="X20" i="51" s="1"/>
  <c r="N20" i="51"/>
  <c r="L20" i="51"/>
  <c r="H20" i="51"/>
  <c r="D20" i="51"/>
  <c r="B20" i="51"/>
  <c r="T19" i="51"/>
  <c r="Z19" i="51" s="1"/>
  <c r="P19" i="51"/>
  <c r="N19" i="51"/>
  <c r="L19" i="51"/>
  <c r="H19" i="51"/>
  <c r="D19" i="51"/>
  <c r="B19" i="51"/>
  <c r="T18" i="51"/>
  <c r="P18" i="51"/>
  <c r="H18" i="51"/>
  <c r="D18" i="51"/>
  <c r="L18" i="51" s="1"/>
  <c r="N18" i="51" s="1"/>
  <c r="B18" i="51"/>
  <c r="Z17" i="51"/>
  <c r="X17" i="51"/>
  <c r="T17" i="51"/>
  <c r="P17" i="51"/>
  <c r="H17" i="51"/>
  <c r="D17" i="51"/>
  <c r="L17" i="51" s="1"/>
  <c r="B17" i="51"/>
  <c r="Z16" i="51"/>
  <c r="X16" i="51"/>
  <c r="T16" i="51"/>
  <c r="P16" i="51"/>
  <c r="H16" i="51"/>
  <c r="N16" i="51" s="1"/>
  <c r="D16" i="51"/>
  <c r="L16" i="51" s="1"/>
  <c r="B16" i="51"/>
  <c r="Z15" i="51"/>
  <c r="X15" i="51"/>
  <c r="T15" i="51"/>
  <c r="P15" i="51"/>
  <c r="H15" i="51"/>
  <c r="D15" i="51"/>
  <c r="L15" i="51" s="1"/>
  <c r="B15" i="51"/>
  <c r="T14" i="51"/>
  <c r="P14" i="51"/>
  <c r="X14" i="51" s="1"/>
  <c r="Z14" i="51" s="1"/>
  <c r="H14" i="51"/>
  <c r="D14" i="51"/>
  <c r="B14" i="51"/>
  <c r="T13" i="51"/>
  <c r="Z13" i="51" s="1"/>
  <c r="P13" i="51"/>
  <c r="X13" i="51" s="1"/>
  <c r="L13" i="51"/>
  <c r="N13" i="51" s="1"/>
  <c r="H13" i="51"/>
  <c r="D13" i="51"/>
  <c r="D12" i="51" s="1"/>
  <c r="B13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D15" i="50"/>
  <c r="T13" i="50"/>
  <c r="Z13" i="50" s="1"/>
  <c r="P13" i="50"/>
  <c r="H13" i="50"/>
  <c r="N13" i="50" s="1"/>
  <c r="D13" i="50"/>
  <c r="B13" i="50"/>
  <c r="T12" i="50"/>
  <c r="V20" i="50" s="1"/>
  <c r="P12" i="50"/>
  <c r="R31" i="50" s="1"/>
  <c r="H12" i="50"/>
  <c r="J34" i="50" s="1"/>
  <c r="D12" i="50"/>
  <c r="F20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D13" i="49"/>
  <c r="B13" i="49"/>
  <c r="T12" i="49"/>
  <c r="V21" i="49" s="1"/>
  <c r="P12" i="49"/>
  <c r="R20" i="49" s="1"/>
  <c r="H12" i="49"/>
  <c r="J18" i="49" s="1"/>
  <c r="D12" i="49"/>
  <c r="F22" i="49" s="1"/>
  <c r="D5" i="49"/>
  <c r="D4" i="49"/>
  <c r="X64" i="48"/>
  <c r="Z64" i="48" s="1"/>
  <c r="V64" i="48"/>
  <c r="L64" i="48"/>
  <c r="N64" i="48" s="1"/>
  <c r="T60" i="48"/>
  <c r="R60" i="48"/>
  <c r="P60" i="48"/>
  <c r="N60" i="48"/>
  <c r="L60" i="48"/>
  <c r="H60" i="48"/>
  <c r="D60" i="48"/>
  <c r="D59" i="48" s="1"/>
  <c r="L59" i="48" s="1"/>
  <c r="B60" i="48"/>
  <c r="H59" i="48"/>
  <c r="Z57" i="48"/>
  <c r="X57" i="48"/>
  <c r="R57" i="48"/>
  <c r="N57" i="48"/>
  <c r="L57" i="48"/>
  <c r="B57" i="48"/>
  <c r="V56" i="48"/>
  <c r="T56" i="48"/>
  <c r="Z56" i="48" s="1"/>
  <c r="R56" i="48"/>
  <c r="P56" i="48"/>
  <c r="X56" i="48" s="1"/>
  <c r="H56" i="48"/>
  <c r="N56" i="48" s="1"/>
  <c r="D56" i="48"/>
  <c r="L56" i="48" s="1"/>
  <c r="B56" i="48"/>
  <c r="Z55" i="48"/>
  <c r="X55" i="48"/>
  <c r="L55" i="48"/>
  <c r="N55" i="48" s="1"/>
  <c r="B55" i="48"/>
  <c r="T54" i="48"/>
  <c r="P54" i="48"/>
  <c r="X54" i="48" s="1"/>
  <c r="N54" i="48"/>
  <c r="L54" i="48"/>
  <c r="H54" i="48"/>
  <c r="D54" i="48"/>
  <c r="B54" i="48"/>
  <c r="Z53" i="48"/>
  <c r="X53" i="48"/>
  <c r="N53" i="48"/>
  <c r="L53" i="48"/>
  <c r="B53" i="48"/>
  <c r="Z52" i="48"/>
  <c r="X52" i="48"/>
  <c r="L52" i="48"/>
  <c r="N52" i="48" s="1"/>
  <c r="B52" i="48"/>
  <c r="T51" i="48"/>
  <c r="P51" i="48"/>
  <c r="X51" i="48" s="1"/>
  <c r="Z51" i="48" s="1"/>
  <c r="N51" i="48"/>
  <c r="L51" i="48"/>
  <c r="H51" i="48"/>
  <c r="D51" i="48"/>
  <c r="B51" i="48"/>
  <c r="Z50" i="48"/>
  <c r="X50" i="48"/>
  <c r="V50" i="48"/>
  <c r="N50" i="48"/>
  <c r="L50" i="48"/>
  <c r="B50" i="48"/>
  <c r="Z49" i="48"/>
  <c r="X49" i="48"/>
  <c r="L49" i="48"/>
  <c r="N49" i="48" s="1"/>
  <c r="B49" i="48"/>
  <c r="Z48" i="48"/>
  <c r="X48" i="48"/>
  <c r="T48" i="48"/>
  <c r="P48" i="48"/>
  <c r="N48" i="48"/>
  <c r="L48" i="48"/>
  <c r="H48" i="48"/>
  <c r="D48" i="48"/>
  <c r="B48" i="48"/>
  <c r="X47" i="48"/>
  <c r="Z47" i="48" s="1"/>
  <c r="V47" i="48"/>
  <c r="R47" i="48"/>
  <c r="N47" i="48"/>
  <c r="L47" i="48"/>
  <c r="B47" i="48"/>
  <c r="Z46" i="48"/>
  <c r="X46" i="48"/>
  <c r="V46" i="48"/>
  <c r="T46" i="48"/>
  <c r="P46" i="48"/>
  <c r="H46" i="48"/>
  <c r="D46" i="48"/>
  <c r="B46" i="48"/>
  <c r="X45" i="48"/>
  <c r="Z45" i="48" s="1"/>
  <c r="R45" i="48"/>
  <c r="N45" i="48"/>
  <c r="L45" i="48"/>
  <c r="B45" i="48"/>
  <c r="V44" i="48"/>
  <c r="T44" i="48"/>
  <c r="R44" i="48"/>
  <c r="P44" i="48"/>
  <c r="X44" i="48" s="1"/>
  <c r="H44" i="48"/>
  <c r="N44" i="48" s="1"/>
  <c r="D44" i="48"/>
  <c r="L44" i="48" s="1"/>
  <c r="B44" i="48"/>
  <c r="Z43" i="48"/>
  <c r="X43" i="48"/>
  <c r="N43" i="48"/>
  <c r="L43" i="48"/>
  <c r="B43" i="48"/>
  <c r="Z42" i="48"/>
  <c r="X42" i="48"/>
  <c r="N42" i="48"/>
  <c r="L42" i="48"/>
  <c r="B42" i="48"/>
  <c r="T41" i="48"/>
  <c r="R41" i="48"/>
  <c r="P41" i="48"/>
  <c r="H41" i="48"/>
  <c r="D41" i="48"/>
  <c r="L41" i="48" s="1"/>
  <c r="N41" i="48" s="1"/>
  <c r="B41" i="48"/>
  <c r="Z40" i="48"/>
  <c r="X40" i="48"/>
  <c r="L40" i="48"/>
  <c r="N40" i="48" s="1"/>
  <c r="B40" i="48"/>
  <c r="T39" i="48"/>
  <c r="P39" i="48"/>
  <c r="X39" i="48" s="1"/>
  <c r="Z39" i="48" s="1"/>
  <c r="N39" i="48"/>
  <c r="L39" i="48"/>
  <c r="H39" i="48"/>
  <c r="D39" i="48"/>
  <c r="B39" i="48"/>
  <c r="Z38" i="48"/>
  <c r="X38" i="48"/>
  <c r="V38" i="48"/>
  <c r="N38" i="48"/>
  <c r="L38" i="48"/>
  <c r="B38" i="48"/>
  <c r="Z37" i="48"/>
  <c r="X37" i="48"/>
  <c r="T37" i="48"/>
  <c r="P37" i="48"/>
  <c r="L37" i="48"/>
  <c r="H37" i="48"/>
  <c r="N37" i="48" s="1"/>
  <c r="D37" i="48"/>
  <c r="B37" i="48"/>
  <c r="X36" i="48"/>
  <c r="Z36" i="48" s="1"/>
  <c r="V36" i="48"/>
  <c r="R36" i="48"/>
  <c r="N36" i="48"/>
  <c r="L36" i="48"/>
  <c r="B36" i="48"/>
  <c r="X35" i="48"/>
  <c r="Z35" i="48" s="1"/>
  <c r="V35" i="48"/>
  <c r="R35" i="48"/>
  <c r="N35" i="48"/>
  <c r="L35" i="48"/>
  <c r="B35" i="48"/>
  <c r="X34" i="48"/>
  <c r="Z34" i="48" s="1"/>
  <c r="V34" i="48"/>
  <c r="N34" i="48"/>
  <c r="L34" i="48"/>
  <c r="B34" i="48"/>
  <c r="Z33" i="48"/>
  <c r="X33" i="48"/>
  <c r="N33" i="48"/>
  <c r="L33" i="48"/>
  <c r="B33" i="48"/>
  <c r="Z32" i="48"/>
  <c r="X32" i="48"/>
  <c r="L32" i="48"/>
  <c r="N32" i="48" s="1"/>
  <c r="B32" i="48"/>
  <c r="Z31" i="48"/>
  <c r="X31" i="48"/>
  <c r="L31" i="48"/>
  <c r="N31" i="48" s="1"/>
  <c r="B31" i="48"/>
  <c r="T30" i="48"/>
  <c r="P30" i="48"/>
  <c r="X30" i="48" s="1"/>
  <c r="N30" i="48"/>
  <c r="L30" i="48"/>
  <c r="H30" i="48"/>
  <c r="D30" i="48"/>
  <c r="B30" i="48"/>
  <c r="Z29" i="48"/>
  <c r="X29" i="48"/>
  <c r="N29" i="48"/>
  <c r="L29" i="48"/>
  <c r="B29" i="48"/>
  <c r="Z28" i="48"/>
  <c r="X28" i="48"/>
  <c r="L28" i="48"/>
  <c r="N28" i="48" s="1"/>
  <c r="B28" i="48"/>
  <c r="Z27" i="48"/>
  <c r="X27" i="48"/>
  <c r="L27" i="48"/>
  <c r="N27" i="48" s="1"/>
  <c r="B27" i="48"/>
  <c r="Z26" i="48"/>
  <c r="X26" i="48"/>
  <c r="L26" i="48"/>
  <c r="N26" i="48" s="1"/>
  <c r="B26" i="48"/>
  <c r="X25" i="48"/>
  <c r="Z25" i="48" s="1"/>
  <c r="R25" i="48"/>
  <c r="N25" i="48"/>
  <c r="L25" i="48"/>
  <c r="B25" i="48"/>
  <c r="X24" i="48"/>
  <c r="Z24" i="48" s="1"/>
  <c r="V24" i="48"/>
  <c r="R24" i="48"/>
  <c r="N24" i="48"/>
  <c r="L24" i="48"/>
  <c r="B24" i="48"/>
  <c r="X23" i="48"/>
  <c r="Z23" i="48" s="1"/>
  <c r="V23" i="48"/>
  <c r="R23" i="48"/>
  <c r="N23" i="48"/>
  <c r="L23" i="48"/>
  <c r="B23" i="48"/>
  <c r="Z22" i="48"/>
  <c r="X22" i="48"/>
  <c r="V22" i="48"/>
  <c r="N22" i="48"/>
  <c r="L22" i="48"/>
  <c r="B22" i="48"/>
  <c r="Z21" i="48"/>
  <c r="X21" i="48"/>
  <c r="V21" i="48"/>
  <c r="L21" i="48"/>
  <c r="N21" i="48" s="1"/>
  <c r="B21" i="48"/>
  <c r="Z20" i="48"/>
  <c r="X20" i="48"/>
  <c r="T20" i="48"/>
  <c r="P20" i="48"/>
  <c r="N20" i="48"/>
  <c r="L20" i="48"/>
  <c r="H20" i="48"/>
  <c r="D20" i="48"/>
  <c r="B20" i="48"/>
  <c r="X19" i="48"/>
  <c r="V19" i="48"/>
  <c r="T19" i="48"/>
  <c r="R19" i="48"/>
  <c r="P19" i="48"/>
  <c r="H19" i="48"/>
  <c r="D19" i="48"/>
  <c r="L19" i="48" s="1"/>
  <c r="P17" i="48"/>
  <c r="X15" i="48"/>
  <c r="V15" i="48"/>
  <c r="T15" i="48"/>
  <c r="Z15" i="48" s="1"/>
  <c r="R15" i="48"/>
  <c r="P15" i="48"/>
  <c r="H15" i="48"/>
  <c r="N15" i="48" s="1"/>
  <c r="D15" i="48"/>
  <c r="Z13" i="48"/>
  <c r="X13" i="48"/>
  <c r="T13" i="48"/>
  <c r="P13" i="48"/>
  <c r="L13" i="48"/>
  <c r="H13" i="48"/>
  <c r="D13" i="48"/>
  <c r="D12" i="48" s="1"/>
  <c r="F29" i="48" s="1"/>
  <c r="B13" i="48"/>
  <c r="T12" i="48"/>
  <c r="V52" i="48" s="1"/>
  <c r="P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P15" i="47"/>
  <c r="H15" i="47"/>
  <c r="N15" i="47" s="1"/>
  <c r="D15" i="47"/>
  <c r="T13" i="47"/>
  <c r="Z13" i="47" s="1"/>
  <c r="P13" i="47"/>
  <c r="H13" i="47"/>
  <c r="D13" i="47"/>
  <c r="B13" i="47"/>
  <c r="T12" i="47"/>
  <c r="V20" i="47" s="1"/>
  <c r="P12" i="47"/>
  <c r="R22" i="47" s="1"/>
  <c r="H12" i="47"/>
  <c r="J16" i="47" s="1"/>
  <c r="D12" i="47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20" i="46" s="1"/>
  <c r="P12" i="46"/>
  <c r="R34" i="46" s="1"/>
  <c r="H12" i="46"/>
  <c r="J34" i="46" s="1"/>
  <c r="D12" i="46"/>
  <c r="F20" i="46" s="1"/>
  <c r="D5" i="46"/>
  <c r="D4" i="46"/>
  <c r="X90" i="45"/>
  <c r="Z90" i="45" s="1"/>
  <c r="V90" i="45"/>
  <c r="L90" i="45"/>
  <c r="N90" i="45" s="1"/>
  <c r="T86" i="45"/>
  <c r="Z86" i="45" s="1"/>
  <c r="P86" i="45"/>
  <c r="X86" i="45" s="1"/>
  <c r="N86" i="45"/>
  <c r="L86" i="45"/>
  <c r="H86" i="45"/>
  <c r="D86" i="45"/>
  <c r="Z84" i="45"/>
  <c r="X84" i="45"/>
  <c r="V84" i="45"/>
  <c r="N84" i="45"/>
  <c r="L84" i="45"/>
  <c r="B84" i="45"/>
  <c r="Z83" i="45"/>
  <c r="X83" i="45"/>
  <c r="V83" i="45"/>
  <c r="N83" i="45"/>
  <c r="L83" i="45"/>
  <c r="B83" i="45"/>
  <c r="Z82" i="45"/>
  <c r="X82" i="45"/>
  <c r="T82" i="45"/>
  <c r="P82" i="45"/>
  <c r="L82" i="45"/>
  <c r="H82" i="45"/>
  <c r="N82" i="45" s="1"/>
  <c r="D82" i="45"/>
  <c r="B82" i="45"/>
  <c r="X81" i="45"/>
  <c r="Z81" i="45" s="1"/>
  <c r="V81" i="45"/>
  <c r="R81" i="45"/>
  <c r="N81" i="45"/>
  <c r="L81" i="45"/>
  <c r="B81" i="45"/>
  <c r="T80" i="45"/>
  <c r="P80" i="45"/>
  <c r="H80" i="45"/>
  <c r="F80" i="45"/>
  <c r="D80" i="45"/>
  <c r="B80" i="45"/>
  <c r="Z79" i="45"/>
  <c r="X79" i="45"/>
  <c r="N79" i="45"/>
  <c r="L79" i="45"/>
  <c r="B79" i="45"/>
  <c r="T78" i="45"/>
  <c r="P78" i="45"/>
  <c r="X78" i="45" s="1"/>
  <c r="H78" i="45"/>
  <c r="D78" i="45"/>
  <c r="L78" i="45" s="1"/>
  <c r="B78" i="45"/>
  <c r="Z77" i="45"/>
  <c r="X77" i="45"/>
  <c r="N77" i="45"/>
  <c r="L77" i="45"/>
  <c r="B77" i="45"/>
  <c r="Z76" i="45"/>
  <c r="X76" i="45"/>
  <c r="N76" i="45"/>
  <c r="L76" i="45"/>
  <c r="F76" i="45"/>
  <c r="B76" i="45"/>
  <c r="Z75" i="45"/>
  <c r="X75" i="45"/>
  <c r="L75" i="45"/>
  <c r="N75" i="45" s="1"/>
  <c r="B75" i="45"/>
  <c r="X74" i="45"/>
  <c r="Z74" i="45" s="1"/>
  <c r="N74" i="45"/>
  <c r="L74" i="45"/>
  <c r="B74" i="45"/>
  <c r="X73" i="45"/>
  <c r="Z73" i="45" s="1"/>
  <c r="V73" i="45"/>
  <c r="N73" i="45"/>
  <c r="L73" i="45"/>
  <c r="B73" i="45"/>
  <c r="X72" i="45"/>
  <c r="Z72" i="45" s="1"/>
  <c r="V72" i="45"/>
  <c r="R72" i="45"/>
  <c r="L72" i="45"/>
  <c r="N72" i="45" s="1"/>
  <c r="B72" i="45"/>
  <c r="Z71" i="45"/>
  <c r="X71" i="45"/>
  <c r="V71" i="45"/>
  <c r="N71" i="45"/>
  <c r="L71" i="45"/>
  <c r="B71" i="45"/>
  <c r="Z70" i="45"/>
  <c r="X70" i="45"/>
  <c r="N70" i="45"/>
  <c r="L70" i="45"/>
  <c r="F70" i="45"/>
  <c r="B70" i="45"/>
  <c r="Z69" i="45"/>
  <c r="T69" i="45"/>
  <c r="P69" i="45"/>
  <c r="X69" i="45" s="1"/>
  <c r="L69" i="45"/>
  <c r="N69" i="45" s="1"/>
  <c r="H69" i="45"/>
  <c r="D69" i="45"/>
  <c r="B69" i="45"/>
  <c r="X68" i="45"/>
  <c r="Z68" i="45" s="1"/>
  <c r="V68" i="45"/>
  <c r="L68" i="45"/>
  <c r="N68" i="45" s="1"/>
  <c r="B68" i="45"/>
  <c r="Z67" i="45"/>
  <c r="X67" i="45"/>
  <c r="V67" i="45"/>
  <c r="N67" i="45"/>
  <c r="L67" i="45"/>
  <c r="B67" i="45"/>
  <c r="Z66" i="45"/>
  <c r="X66" i="45"/>
  <c r="N66" i="45"/>
  <c r="L66" i="45"/>
  <c r="F66" i="45"/>
  <c r="B66" i="45"/>
  <c r="T65" i="45"/>
  <c r="P65" i="45"/>
  <c r="X65" i="45" s="1"/>
  <c r="Z65" i="45" s="1"/>
  <c r="L65" i="45"/>
  <c r="N65" i="45" s="1"/>
  <c r="H65" i="45"/>
  <c r="D65" i="45"/>
  <c r="B65" i="45"/>
  <c r="X64" i="45"/>
  <c r="Z64" i="45" s="1"/>
  <c r="V64" i="45"/>
  <c r="L64" i="45"/>
  <c r="N64" i="45" s="1"/>
  <c r="B64" i="45"/>
  <c r="X63" i="45"/>
  <c r="Z63" i="45" s="1"/>
  <c r="V63" i="45"/>
  <c r="N63" i="45"/>
  <c r="L63" i="45"/>
  <c r="B63" i="45"/>
  <c r="Z62" i="45"/>
  <c r="X62" i="45"/>
  <c r="N62" i="45"/>
  <c r="L62" i="45"/>
  <c r="B62" i="45"/>
  <c r="T61" i="45"/>
  <c r="P61" i="45"/>
  <c r="X61" i="45" s="1"/>
  <c r="Z61" i="45" s="1"/>
  <c r="L61" i="45"/>
  <c r="N61" i="45" s="1"/>
  <c r="H61" i="45"/>
  <c r="D61" i="45"/>
  <c r="B61" i="45"/>
  <c r="X60" i="45"/>
  <c r="Z60" i="45" s="1"/>
  <c r="V60" i="45"/>
  <c r="L60" i="45"/>
  <c r="N60" i="45" s="1"/>
  <c r="B60" i="45"/>
  <c r="Z59" i="45"/>
  <c r="X59" i="45"/>
  <c r="V59" i="45"/>
  <c r="T59" i="45"/>
  <c r="P59" i="45"/>
  <c r="H59" i="45"/>
  <c r="F59" i="45"/>
  <c r="D59" i="45"/>
  <c r="B59" i="45"/>
  <c r="Z58" i="45"/>
  <c r="X58" i="45"/>
  <c r="R58" i="45"/>
  <c r="L58" i="45"/>
  <c r="N58" i="45" s="1"/>
  <c r="B58" i="45"/>
  <c r="V57" i="45"/>
  <c r="T57" i="45"/>
  <c r="R57" i="45"/>
  <c r="P57" i="45"/>
  <c r="H57" i="45"/>
  <c r="N57" i="45" s="1"/>
  <c r="D57" i="45"/>
  <c r="L57" i="45" s="1"/>
  <c r="B57" i="45"/>
  <c r="X56" i="45"/>
  <c r="Z56" i="45" s="1"/>
  <c r="N56" i="45"/>
  <c r="L56" i="45"/>
  <c r="F56" i="45"/>
  <c r="B56" i="45"/>
  <c r="T55" i="45"/>
  <c r="Z55" i="45" s="1"/>
  <c r="R55" i="45"/>
  <c r="P55" i="45"/>
  <c r="X55" i="45" s="1"/>
  <c r="N55" i="45"/>
  <c r="H55" i="45"/>
  <c r="D55" i="45"/>
  <c r="L55" i="45" s="1"/>
  <c r="B55" i="45"/>
  <c r="X54" i="45"/>
  <c r="Z54" i="45" s="1"/>
  <c r="N54" i="45"/>
  <c r="L54" i="45"/>
  <c r="B54" i="45"/>
  <c r="Z53" i="45"/>
  <c r="T53" i="45"/>
  <c r="P53" i="45"/>
  <c r="X53" i="45" s="1"/>
  <c r="L53" i="45"/>
  <c r="N53" i="45" s="1"/>
  <c r="H53" i="45"/>
  <c r="D53" i="45"/>
  <c r="B53" i="45"/>
  <c r="Z52" i="45"/>
  <c r="X52" i="45"/>
  <c r="V52" i="45"/>
  <c r="R52" i="45"/>
  <c r="N52" i="45"/>
  <c r="L52" i="45"/>
  <c r="B52" i="45"/>
  <c r="Z51" i="45"/>
  <c r="X51" i="45"/>
  <c r="V51" i="45"/>
  <c r="T51" i="45"/>
  <c r="P51" i="45"/>
  <c r="H51" i="45"/>
  <c r="F51" i="45"/>
  <c r="D51" i="45"/>
  <c r="B51" i="45"/>
  <c r="Z50" i="45"/>
  <c r="X50" i="45"/>
  <c r="R50" i="45"/>
  <c r="N50" i="45"/>
  <c r="L50" i="45"/>
  <c r="B50" i="45"/>
  <c r="T49" i="45"/>
  <c r="P49" i="45"/>
  <c r="H49" i="45"/>
  <c r="N49" i="45" s="1"/>
  <c r="D49" i="45"/>
  <c r="L49" i="45" s="1"/>
  <c r="B49" i="45"/>
  <c r="Z48" i="45"/>
  <c r="X48" i="45"/>
  <c r="L48" i="45"/>
  <c r="N48" i="45" s="1"/>
  <c r="F48" i="45"/>
  <c r="B48" i="45"/>
  <c r="T47" i="45"/>
  <c r="R47" i="45"/>
  <c r="P47" i="45"/>
  <c r="X47" i="45" s="1"/>
  <c r="N47" i="45"/>
  <c r="H47" i="45"/>
  <c r="D47" i="45"/>
  <c r="L47" i="45" s="1"/>
  <c r="B47" i="45"/>
  <c r="Z46" i="45"/>
  <c r="X46" i="45"/>
  <c r="N46" i="45"/>
  <c r="L46" i="45"/>
  <c r="F46" i="45"/>
  <c r="B46" i="45"/>
  <c r="Z45" i="45"/>
  <c r="T45" i="45"/>
  <c r="P45" i="45"/>
  <c r="X45" i="45" s="1"/>
  <c r="N45" i="45"/>
  <c r="L45" i="45"/>
  <c r="H45" i="45"/>
  <c r="D45" i="45"/>
  <c r="B45" i="45"/>
  <c r="X44" i="45"/>
  <c r="Z44" i="45" s="1"/>
  <c r="V44" i="45"/>
  <c r="N44" i="45"/>
  <c r="L44" i="45"/>
  <c r="B44" i="45"/>
  <c r="X43" i="45"/>
  <c r="Z43" i="45" s="1"/>
  <c r="V43" i="45"/>
  <c r="T43" i="45"/>
  <c r="P43" i="45"/>
  <c r="H43" i="45"/>
  <c r="F43" i="45"/>
  <c r="D43" i="45"/>
  <c r="B43" i="45"/>
  <c r="Z42" i="45"/>
  <c r="X42" i="45"/>
  <c r="N42" i="45"/>
  <c r="L42" i="45"/>
  <c r="B42" i="45"/>
  <c r="T41" i="45"/>
  <c r="R41" i="45"/>
  <c r="P41" i="45"/>
  <c r="H41" i="45"/>
  <c r="N41" i="45" s="1"/>
  <c r="F41" i="45"/>
  <c r="D41" i="45"/>
  <c r="L41" i="45" s="1"/>
  <c r="B41" i="45"/>
  <c r="Z40" i="45"/>
  <c r="X40" i="45"/>
  <c r="L40" i="45"/>
  <c r="N40" i="45" s="1"/>
  <c r="B40" i="45"/>
  <c r="X39" i="45"/>
  <c r="Z39" i="45" s="1"/>
  <c r="N39" i="45"/>
  <c r="L39" i="45"/>
  <c r="B39" i="45"/>
  <c r="Z38" i="45"/>
  <c r="X38" i="45"/>
  <c r="R38" i="45"/>
  <c r="L38" i="45"/>
  <c r="N38" i="45" s="1"/>
  <c r="B38" i="45"/>
  <c r="X37" i="45"/>
  <c r="Z37" i="45" s="1"/>
  <c r="V37" i="45"/>
  <c r="R37" i="45"/>
  <c r="N37" i="45"/>
  <c r="L37" i="45"/>
  <c r="B37" i="45"/>
  <c r="X36" i="45"/>
  <c r="Z36" i="45" s="1"/>
  <c r="V36" i="45"/>
  <c r="R36" i="45"/>
  <c r="N36" i="45"/>
  <c r="L36" i="45"/>
  <c r="B36" i="45"/>
  <c r="Z35" i="45"/>
  <c r="X35" i="45"/>
  <c r="V35" i="45"/>
  <c r="L35" i="45"/>
  <c r="N35" i="45" s="1"/>
  <c r="B35" i="45"/>
  <c r="Z34" i="45"/>
  <c r="X34" i="45"/>
  <c r="T34" i="45"/>
  <c r="P34" i="45"/>
  <c r="L34" i="45"/>
  <c r="H34" i="45"/>
  <c r="D34" i="45"/>
  <c r="B34" i="45"/>
  <c r="X33" i="45"/>
  <c r="Z33" i="45" s="1"/>
  <c r="V33" i="45"/>
  <c r="R33" i="45"/>
  <c r="N33" i="45"/>
  <c r="L33" i="45"/>
  <c r="B33" i="45"/>
  <c r="X32" i="45"/>
  <c r="Z32" i="45" s="1"/>
  <c r="V32" i="45"/>
  <c r="R32" i="45"/>
  <c r="L32" i="45"/>
  <c r="N32" i="45" s="1"/>
  <c r="B32" i="45"/>
  <c r="X31" i="45"/>
  <c r="Z31" i="45" s="1"/>
  <c r="V31" i="45"/>
  <c r="L31" i="45"/>
  <c r="N31" i="45" s="1"/>
  <c r="B31" i="45"/>
  <c r="Z30" i="45"/>
  <c r="X30" i="45"/>
  <c r="N30" i="45"/>
  <c r="L30" i="45"/>
  <c r="F30" i="45"/>
  <c r="B30" i="45"/>
  <c r="Z29" i="45"/>
  <c r="X29" i="45"/>
  <c r="L29" i="45"/>
  <c r="N29" i="45" s="1"/>
  <c r="F29" i="45"/>
  <c r="B29" i="45"/>
  <c r="Z28" i="45"/>
  <c r="X28" i="45"/>
  <c r="L28" i="45"/>
  <c r="N28" i="45" s="1"/>
  <c r="B28" i="45"/>
  <c r="Z27" i="45"/>
  <c r="X27" i="45"/>
  <c r="N27" i="45"/>
  <c r="L27" i="45"/>
  <c r="B27" i="45"/>
  <c r="X26" i="45"/>
  <c r="Z26" i="45" s="1"/>
  <c r="N26" i="45"/>
  <c r="L26" i="45"/>
  <c r="B26" i="45"/>
  <c r="X25" i="45"/>
  <c r="Z25" i="45" s="1"/>
  <c r="V25" i="45"/>
  <c r="R25" i="45"/>
  <c r="N25" i="45"/>
  <c r="L25" i="45"/>
  <c r="B25" i="45"/>
  <c r="X24" i="45"/>
  <c r="V24" i="45"/>
  <c r="T24" i="45"/>
  <c r="P24" i="45"/>
  <c r="H24" i="45"/>
  <c r="D24" i="45"/>
  <c r="B24" i="45"/>
  <c r="T23" i="45"/>
  <c r="Z23" i="45" s="1"/>
  <c r="R23" i="45"/>
  <c r="P23" i="45"/>
  <c r="X23" i="45" s="1"/>
  <c r="N23" i="45"/>
  <c r="H23" i="45"/>
  <c r="D23" i="45"/>
  <c r="L23" i="45" s="1"/>
  <c r="X19" i="45"/>
  <c r="Z19" i="45" s="1"/>
  <c r="N19" i="45"/>
  <c r="L19" i="45"/>
  <c r="B19" i="45"/>
  <c r="Z18" i="45"/>
  <c r="X18" i="45"/>
  <c r="R18" i="45"/>
  <c r="N18" i="45"/>
  <c r="L18" i="45"/>
  <c r="B18" i="45"/>
  <c r="V17" i="45"/>
  <c r="T17" i="45"/>
  <c r="R17" i="45"/>
  <c r="P17" i="45"/>
  <c r="H17" i="45"/>
  <c r="N17" i="45" s="1"/>
  <c r="F17" i="45"/>
  <c r="D17" i="45"/>
  <c r="L17" i="45" s="1"/>
  <c r="T15" i="45"/>
  <c r="P15" i="45"/>
  <c r="X15" i="45" s="1"/>
  <c r="Z15" i="45" s="1"/>
  <c r="H15" i="45"/>
  <c r="D15" i="45"/>
  <c r="B15" i="45"/>
  <c r="T14" i="45"/>
  <c r="X14" i="45" s="1"/>
  <c r="P14" i="45"/>
  <c r="H14" i="45"/>
  <c r="D14" i="45"/>
  <c r="D12" i="45" s="1"/>
  <c r="B14" i="45"/>
  <c r="T13" i="45"/>
  <c r="P13" i="45"/>
  <c r="X13" i="45" s="1"/>
  <c r="Z13" i="45" s="1"/>
  <c r="N13" i="45"/>
  <c r="L13" i="45"/>
  <c r="H13" i="45"/>
  <c r="D13" i="45"/>
  <c r="B13" i="45"/>
  <c r="T12" i="45"/>
  <c r="V77" i="45" s="1"/>
  <c r="P12" i="45"/>
  <c r="R90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D33" i="44"/>
  <c r="T29" i="44"/>
  <c r="Z29" i="44" s="1"/>
  <c r="P29" i="44"/>
  <c r="H29" i="44"/>
  <c r="D29" i="44"/>
  <c r="T25" i="44"/>
  <c r="Z25" i="44" s="1"/>
  <c r="P25" i="44"/>
  <c r="H25" i="44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D22" i="44"/>
  <c r="B22" i="44"/>
  <c r="T21" i="44"/>
  <c r="P21" i="44"/>
  <c r="H21" i="44"/>
  <c r="N21" i="44" s="1"/>
  <c r="D21" i="44"/>
  <c r="B21" i="44"/>
  <c r="T20" i="44"/>
  <c r="Z20" i="44" s="1"/>
  <c r="P20" i="44"/>
  <c r="H20" i="44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D15" i="44"/>
  <c r="T13" i="44"/>
  <c r="Z13" i="44" s="1"/>
  <c r="P13" i="44"/>
  <c r="H13" i="44"/>
  <c r="N13" i="44" s="1"/>
  <c r="D13" i="44"/>
  <c r="B13" i="44"/>
  <c r="T12" i="44"/>
  <c r="V21" i="44" s="1"/>
  <c r="P12" i="44"/>
  <c r="R18" i="44" s="1"/>
  <c r="H12" i="44"/>
  <c r="J29" i="44" s="1"/>
  <c r="D12" i="44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18" i="43" s="1"/>
  <c r="P12" i="43"/>
  <c r="R34" i="43" s="1"/>
  <c r="H12" i="43"/>
  <c r="D12" i="43"/>
  <c r="F18" i="43" s="1"/>
  <c r="D5" i="43"/>
  <c r="D4" i="43"/>
  <c r="X100" i="42"/>
  <c r="Z100" i="42" s="1"/>
  <c r="N100" i="42"/>
  <c r="L100" i="42"/>
  <c r="T96" i="42"/>
  <c r="P96" i="42"/>
  <c r="X96" i="42" s="1"/>
  <c r="H96" i="42"/>
  <c r="N96" i="42" s="1"/>
  <c r="D96" i="42"/>
  <c r="L96" i="42" s="1"/>
  <c r="B96" i="42"/>
  <c r="T95" i="42"/>
  <c r="X95" i="42" s="1"/>
  <c r="Z95" i="42" s="1"/>
  <c r="P95" i="42"/>
  <c r="H95" i="42"/>
  <c r="D95" i="42"/>
  <c r="L95" i="42" s="1"/>
  <c r="N95" i="42" s="1"/>
  <c r="B95" i="42"/>
  <c r="T94" i="42"/>
  <c r="P94" i="42"/>
  <c r="H94" i="42"/>
  <c r="D94" i="42"/>
  <c r="B94" i="42"/>
  <c r="Z91" i="42"/>
  <c r="X91" i="42"/>
  <c r="L91" i="42"/>
  <c r="N91" i="42" s="1"/>
  <c r="B91" i="42"/>
  <c r="X90" i="42"/>
  <c r="T90" i="42"/>
  <c r="Z90" i="42" s="1"/>
  <c r="P90" i="42"/>
  <c r="H90" i="42"/>
  <c r="D90" i="42"/>
  <c r="B90" i="42"/>
  <c r="Z89" i="42"/>
  <c r="X89" i="42"/>
  <c r="N89" i="42"/>
  <c r="L89" i="42"/>
  <c r="B89" i="42"/>
  <c r="T88" i="42"/>
  <c r="P88" i="42"/>
  <c r="H88" i="42"/>
  <c r="N88" i="42" s="1"/>
  <c r="D88" i="42"/>
  <c r="L88" i="42" s="1"/>
  <c r="B88" i="42"/>
  <c r="X87" i="42"/>
  <c r="Z87" i="42" s="1"/>
  <c r="N87" i="42"/>
  <c r="L87" i="42"/>
  <c r="B87" i="42"/>
  <c r="T86" i="42"/>
  <c r="P86" i="42"/>
  <c r="X86" i="42" s="1"/>
  <c r="H86" i="42"/>
  <c r="N86" i="42" s="1"/>
  <c r="D86" i="42"/>
  <c r="L86" i="42" s="1"/>
  <c r="B86" i="42"/>
  <c r="Z85" i="42"/>
  <c r="X85" i="42"/>
  <c r="N85" i="42"/>
  <c r="L85" i="42"/>
  <c r="B85" i="42"/>
  <c r="Z84" i="42"/>
  <c r="X84" i="42"/>
  <c r="N84" i="42"/>
  <c r="L84" i="42"/>
  <c r="F84" i="42"/>
  <c r="B84" i="42"/>
  <c r="Z83" i="42"/>
  <c r="X83" i="42"/>
  <c r="N83" i="42"/>
  <c r="L83" i="42"/>
  <c r="B83" i="42"/>
  <c r="Z82" i="42"/>
  <c r="X82" i="42"/>
  <c r="L82" i="42"/>
  <c r="N82" i="42" s="1"/>
  <c r="B82" i="42"/>
  <c r="Z81" i="42"/>
  <c r="X81" i="42"/>
  <c r="N81" i="42"/>
  <c r="L81" i="42"/>
  <c r="B81" i="42"/>
  <c r="X80" i="42"/>
  <c r="Z80" i="42" s="1"/>
  <c r="L80" i="42"/>
  <c r="N80" i="42" s="1"/>
  <c r="B80" i="42"/>
  <c r="Z79" i="42"/>
  <c r="X79" i="42"/>
  <c r="L79" i="42"/>
  <c r="N79" i="42" s="1"/>
  <c r="B79" i="42"/>
  <c r="X78" i="42"/>
  <c r="Z78" i="42" s="1"/>
  <c r="N78" i="42"/>
  <c r="L78" i="42"/>
  <c r="B78" i="42"/>
  <c r="T77" i="42"/>
  <c r="P77" i="42"/>
  <c r="X77" i="42" s="1"/>
  <c r="Z77" i="42" s="1"/>
  <c r="H77" i="42"/>
  <c r="D77" i="42"/>
  <c r="L77" i="42" s="1"/>
  <c r="N77" i="42" s="1"/>
  <c r="B77" i="42"/>
  <c r="X76" i="42"/>
  <c r="Z76" i="42" s="1"/>
  <c r="L76" i="42"/>
  <c r="N76" i="42" s="1"/>
  <c r="B76" i="42"/>
  <c r="T75" i="42"/>
  <c r="P75" i="42"/>
  <c r="X75" i="42" s="1"/>
  <c r="Z75" i="42" s="1"/>
  <c r="H75" i="42"/>
  <c r="F75" i="42"/>
  <c r="D75" i="42"/>
  <c r="L75" i="42" s="1"/>
  <c r="N75" i="42" s="1"/>
  <c r="B75" i="42"/>
  <c r="Z74" i="42"/>
  <c r="X74" i="42"/>
  <c r="L74" i="42"/>
  <c r="N74" i="42" s="1"/>
  <c r="B74" i="42"/>
  <c r="Z73" i="42"/>
  <c r="X73" i="42"/>
  <c r="N73" i="42"/>
  <c r="L73" i="42"/>
  <c r="B73" i="42"/>
  <c r="X72" i="42"/>
  <c r="Z72" i="42" s="1"/>
  <c r="L72" i="42"/>
  <c r="N72" i="42" s="1"/>
  <c r="B72" i="42"/>
  <c r="Z71" i="42"/>
  <c r="X71" i="42"/>
  <c r="L71" i="42"/>
  <c r="N71" i="42" s="1"/>
  <c r="B71" i="42"/>
  <c r="X70" i="42"/>
  <c r="T70" i="42"/>
  <c r="Z70" i="42" s="1"/>
  <c r="P70" i="42"/>
  <c r="H70" i="42"/>
  <c r="D70" i="42"/>
  <c r="B70" i="42"/>
  <c r="Z69" i="42"/>
  <c r="X69" i="42"/>
  <c r="N69" i="42"/>
  <c r="L69" i="42"/>
  <c r="B69" i="42"/>
  <c r="T68" i="42"/>
  <c r="P68" i="42"/>
  <c r="H68" i="42"/>
  <c r="N68" i="42" s="1"/>
  <c r="D68" i="42"/>
  <c r="L68" i="42" s="1"/>
  <c r="B68" i="42"/>
  <c r="X67" i="42"/>
  <c r="Z67" i="42" s="1"/>
  <c r="N67" i="42"/>
  <c r="L67" i="42"/>
  <c r="B67" i="42"/>
  <c r="Z66" i="42"/>
  <c r="X66" i="42"/>
  <c r="L66" i="42"/>
  <c r="N66" i="42" s="1"/>
  <c r="B66" i="42"/>
  <c r="Z65" i="42"/>
  <c r="X65" i="42"/>
  <c r="N65" i="42"/>
  <c r="L65" i="42"/>
  <c r="B65" i="42"/>
  <c r="T64" i="42"/>
  <c r="P64" i="42"/>
  <c r="H64" i="42"/>
  <c r="D64" i="42"/>
  <c r="L64" i="42" s="1"/>
  <c r="B64" i="42"/>
  <c r="X63" i="42"/>
  <c r="Z63" i="42" s="1"/>
  <c r="N63" i="42"/>
  <c r="L63" i="42"/>
  <c r="B63" i="42"/>
  <c r="T62" i="42"/>
  <c r="P62" i="42"/>
  <c r="X62" i="42" s="1"/>
  <c r="H62" i="42"/>
  <c r="N62" i="42" s="1"/>
  <c r="D62" i="42"/>
  <c r="L62" i="42" s="1"/>
  <c r="B62" i="42"/>
  <c r="Z61" i="42"/>
  <c r="X61" i="42"/>
  <c r="N61" i="42"/>
  <c r="L61" i="42"/>
  <c r="B61" i="42"/>
  <c r="T60" i="42"/>
  <c r="Z60" i="42" s="1"/>
  <c r="P60" i="42"/>
  <c r="X60" i="42" s="1"/>
  <c r="L60" i="42"/>
  <c r="H60" i="42"/>
  <c r="N60" i="42" s="1"/>
  <c r="D60" i="42"/>
  <c r="B60" i="42"/>
  <c r="Z59" i="42"/>
  <c r="X59" i="42"/>
  <c r="L59" i="42"/>
  <c r="N59" i="42" s="1"/>
  <c r="B59" i="42"/>
  <c r="X58" i="42"/>
  <c r="T58" i="42"/>
  <c r="Z58" i="42" s="1"/>
  <c r="P58" i="42"/>
  <c r="H58" i="42"/>
  <c r="D58" i="42"/>
  <c r="B58" i="42"/>
  <c r="Z57" i="42"/>
  <c r="X57" i="42"/>
  <c r="N57" i="42"/>
  <c r="L57" i="42"/>
  <c r="B57" i="42"/>
  <c r="T56" i="42"/>
  <c r="P56" i="42"/>
  <c r="H56" i="42"/>
  <c r="N56" i="42" s="1"/>
  <c r="D56" i="42"/>
  <c r="L56" i="42" s="1"/>
  <c r="B56" i="42"/>
  <c r="X55" i="42"/>
  <c r="Z55" i="42" s="1"/>
  <c r="N55" i="42"/>
  <c r="L55" i="42"/>
  <c r="B55" i="42"/>
  <c r="T54" i="42"/>
  <c r="Z54" i="42" s="1"/>
  <c r="P54" i="42"/>
  <c r="X54" i="42" s="1"/>
  <c r="H54" i="42"/>
  <c r="N54" i="42" s="1"/>
  <c r="D54" i="42"/>
  <c r="L54" i="42" s="1"/>
  <c r="B54" i="42"/>
  <c r="Z53" i="42"/>
  <c r="X53" i="42"/>
  <c r="N53" i="42"/>
  <c r="L53" i="42"/>
  <c r="B53" i="42"/>
  <c r="T52" i="42"/>
  <c r="P52" i="42"/>
  <c r="X52" i="42" s="1"/>
  <c r="L52" i="42"/>
  <c r="H52" i="42"/>
  <c r="D52" i="42"/>
  <c r="B52" i="42"/>
  <c r="Z51" i="42"/>
  <c r="X51" i="42"/>
  <c r="N51" i="42"/>
  <c r="L51" i="42"/>
  <c r="B51" i="42"/>
  <c r="X50" i="42"/>
  <c r="T50" i="42"/>
  <c r="Z50" i="42" s="1"/>
  <c r="P50" i="42"/>
  <c r="H50" i="42"/>
  <c r="D50" i="42"/>
  <c r="B50" i="42"/>
  <c r="Z49" i="42"/>
  <c r="X49" i="42"/>
  <c r="N49" i="42"/>
  <c r="L49" i="42"/>
  <c r="B49" i="42"/>
  <c r="X48" i="42"/>
  <c r="Z48" i="42" s="1"/>
  <c r="L48" i="42"/>
  <c r="N48" i="42" s="1"/>
  <c r="B48" i="42"/>
  <c r="T47" i="42"/>
  <c r="P47" i="42"/>
  <c r="X47" i="42" s="1"/>
  <c r="Z47" i="42" s="1"/>
  <c r="H47" i="42"/>
  <c r="L47" i="42" s="1"/>
  <c r="N47" i="42" s="1"/>
  <c r="F47" i="42"/>
  <c r="D47" i="42"/>
  <c r="B47" i="42"/>
  <c r="Z46" i="42"/>
  <c r="X46" i="42"/>
  <c r="L46" i="42"/>
  <c r="N46" i="42" s="1"/>
  <c r="B46" i="42"/>
  <c r="T45" i="42"/>
  <c r="X45" i="42" s="1"/>
  <c r="Z45" i="42" s="1"/>
  <c r="P45" i="42"/>
  <c r="L45" i="42"/>
  <c r="N45" i="42" s="1"/>
  <c r="H45" i="42"/>
  <c r="D45" i="42"/>
  <c r="B45" i="42"/>
  <c r="X44" i="42"/>
  <c r="Z44" i="42" s="1"/>
  <c r="L44" i="42"/>
  <c r="N44" i="42" s="1"/>
  <c r="F44" i="42"/>
  <c r="B44" i="42"/>
  <c r="X43" i="42"/>
  <c r="Z43" i="42" s="1"/>
  <c r="T43" i="42"/>
  <c r="P43" i="42"/>
  <c r="H43" i="42"/>
  <c r="D43" i="42"/>
  <c r="L43" i="42" s="1"/>
  <c r="N43" i="42" s="1"/>
  <c r="B43" i="42"/>
  <c r="X42" i="42"/>
  <c r="Z42" i="42" s="1"/>
  <c r="N42" i="42"/>
  <c r="L42" i="42"/>
  <c r="B42" i="42"/>
  <c r="T41" i="42"/>
  <c r="P41" i="42"/>
  <c r="X41" i="42" s="1"/>
  <c r="Z41" i="42" s="1"/>
  <c r="H41" i="42"/>
  <c r="D41" i="42"/>
  <c r="L41" i="42" s="1"/>
  <c r="N41" i="42" s="1"/>
  <c r="B41" i="42"/>
  <c r="X40" i="42"/>
  <c r="Z40" i="42" s="1"/>
  <c r="L40" i="42"/>
  <c r="N40" i="42" s="1"/>
  <c r="B40" i="42"/>
  <c r="Z39" i="42"/>
  <c r="X39" i="42"/>
  <c r="L39" i="42"/>
  <c r="N39" i="42" s="1"/>
  <c r="B39" i="42"/>
  <c r="X38" i="42"/>
  <c r="Z38" i="42" s="1"/>
  <c r="N38" i="42"/>
  <c r="L38" i="42"/>
  <c r="B38" i="42"/>
  <c r="Z37" i="42"/>
  <c r="X37" i="42"/>
  <c r="N37" i="42"/>
  <c r="L37" i="42"/>
  <c r="B37" i="42"/>
  <c r="X36" i="42"/>
  <c r="Z36" i="42" s="1"/>
  <c r="L36" i="42"/>
  <c r="N36" i="42" s="1"/>
  <c r="F36" i="42"/>
  <c r="B36" i="42"/>
  <c r="X35" i="42"/>
  <c r="Z35" i="42" s="1"/>
  <c r="T35" i="42"/>
  <c r="P35" i="42"/>
  <c r="H35" i="42"/>
  <c r="D35" i="42"/>
  <c r="L35" i="42" s="1"/>
  <c r="N35" i="42" s="1"/>
  <c r="B35" i="42"/>
  <c r="X34" i="42"/>
  <c r="Z34" i="42" s="1"/>
  <c r="N34" i="42"/>
  <c r="L34" i="42"/>
  <c r="B34" i="42"/>
  <c r="Z33" i="42"/>
  <c r="X33" i="42"/>
  <c r="N33" i="42"/>
  <c r="L33" i="42"/>
  <c r="B33" i="42"/>
  <c r="X32" i="42"/>
  <c r="Z32" i="42" s="1"/>
  <c r="L32" i="42"/>
  <c r="N32" i="42" s="1"/>
  <c r="F32" i="42"/>
  <c r="B32" i="42"/>
  <c r="X31" i="42"/>
  <c r="Z31" i="42" s="1"/>
  <c r="N31" i="42"/>
  <c r="L31" i="42"/>
  <c r="B31" i="42"/>
  <c r="Z30" i="42"/>
  <c r="X30" i="42"/>
  <c r="L30" i="42"/>
  <c r="N30" i="42" s="1"/>
  <c r="B30" i="42"/>
  <c r="Z29" i="42"/>
  <c r="X29" i="42"/>
  <c r="N29" i="42"/>
  <c r="L29" i="42"/>
  <c r="B29" i="42"/>
  <c r="X28" i="42"/>
  <c r="Z28" i="42" s="1"/>
  <c r="L28" i="42"/>
  <c r="N28" i="42" s="1"/>
  <c r="B28" i="42"/>
  <c r="Z27" i="42"/>
  <c r="X27" i="42"/>
  <c r="L27" i="42"/>
  <c r="N27" i="42" s="1"/>
  <c r="B27" i="42"/>
  <c r="X26" i="42"/>
  <c r="T26" i="42"/>
  <c r="Z26" i="42" s="1"/>
  <c r="P26" i="42"/>
  <c r="H26" i="42"/>
  <c r="D26" i="42"/>
  <c r="B26" i="42"/>
  <c r="T25" i="42"/>
  <c r="Z25" i="42" s="1"/>
  <c r="P25" i="42"/>
  <c r="X25" i="42" s="1"/>
  <c r="L25" i="42"/>
  <c r="N25" i="42" s="1"/>
  <c r="H25" i="42"/>
  <c r="D25" i="42"/>
  <c r="X21" i="42"/>
  <c r="Z21" i="42" s="1"/>
  <c r="N21" i="42"/>
  <c r="L21" i="42"/>
  <c r="B21" i="42"/>
  <c r="X20" i="42"/>
  <c r="Z20" i="42" s="1"/>
  <c r="L20" i="42"/>
  <c r="N20" i="42" s="1"/>
  <c r="B20" i="42"/>
  <c r="T19" i="42"/>
  <c r="P19" i="42"/>
  <c r="X19" i="42" s="1"/>
  <c r="Z19" i="42" s="1"/>
  <c r="H19" i="42"/>
  <c r="F19" i="42"/>
  <c r="D19" i="42"/>
  <c r="X17" i="42"/>
  <c r="Z17" i="42" s="1"/>
  <c r="T17" i="42"/>
  <c r="P17" i="42"/>
  <c r="H17" i="42"/>
  <c r="D17" i="42"/>
  <c r="B17" i="42"/>
  <c r="T16" i="42"/>
  <c r="P16" i="42"/>
  <c r="X16" i="42" s="1"/>
  <c r="Z16" i="42" s="1"/>
  <c r="N16" i="42"/>
  <c r="L16" i="42"/>
  <c r="H16" i="42"/>
  <c r="D16" i="42"/>
  <c r="B16" i="42"/>
  <c r="T15" i="42"/>
  <c r="Z15" i="42" s="1"/>
  <c r="P15" i="42"/>
  <c r="X15" i="42" s="1"/>
  <c r="N15" i="42"/>
  <c r="H15" i="42"/>
  <c r="D15" i="42"/>
  <c r="L15" i="42" s="1"/>
  <c r="B15" i="42"/>
  <c r="T14" i="42"/>
  <c r="P14" i="42"/>
  <c r="H14" i="42"/>
  <c r="D14" i="42"/>
  <c r="B14" i="42"/>
  <c r="T13" i="42"/>
  <c r="P13" i="42"/>
  <c r="L13" i="42"/>
  <c r="N13" i="42" s="1"/>
  <c r="H13" i="42"/>
  <c r="D13" i="42"/>
  <c r="B13" i="42"/>
  <c r="D12" i="42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P20" i="41"/>
  <c r="H20" i="41"/>
  <c r="N20" i="41" s="1"/>
  <c r="D20" i="41"/>
  <c r="T16" i="41"/>
  <c r="P16" i="41"/>
  <c r="H16" i="41"/>
  <c r="N16" i="41" s="1"/>
  <c r="D16" i="41"/>
  <c r="B16" i="41"/>
  <c r="T15" i="41"/>
  <c r="Z15" i="41" s="1"/>
  <c r="P15" i="41"/>
  <c r="H15" i="41"/>
  <c r="D15" i="41"/>
  <c r="T13" i="41"/>
  <c r="P13" i="41"/>
  <c r="H13" i="41"/>
  <c r="N13" i="41" s="1"/>
  <c r="D13" i="41"/>
  <c r="B13" i="41"/>
  <c r="T12" i="41"/>
  <c r="V24" i="41" s="1"/>
  <c r="P12" i="41"/>
  <c r="H12" i="41"/>
  <c r="J18" i="41" s="1"/>
  <c r="D12" i="41"/>
  <c r="F24" i="41" s="1"/>
  <c r="D5" i="41"/>
  <c r="D4" i="41"/>
  <c r="B39" i="40"/>
  <c r="B38" i="40"/>
  <c r="T34" i="40"/>
  <c r="Z34" i="40" s="1"/>
  <c r="P34" i="40"/>
  <c r="H34" i="40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34" i="40" s="1"/>
  <c r="P12" i="40"/>
  <c r="H12" i="40"/>
  <c r="J21" i="40" s="1"/>
  <c r="D12" i="40"/>
  <c r="F34" i="40" s="1"/>
  <c r="D5" i="40"/>
  <c r="D4" i="40"/>
  <c r="X109" i="39"/>
  <c r="Z109" i="39" s="1"/>
  <c r="N109" i="39"/>
  <c r="L109" i="39"/>
  <c r="T105" i="39"/>
  <c r="P105" i="39"/>
  <c r="X105" i="39" s="1"/>
  <c r="Z105" i="39" s="1"/>
  <c r="H105" i="39"/>
  <c r="N105" i="39" s="1"/>
  <c r="D105" i="39"/>
  <c r="L105" i="39" s="1"/>
  <c r="B105" i="39"/>
  <c r="T104" i="39"/>
  <c r="P104" i="39"/>
  <c r="H104" i="39"/>
  <c r="D104" i="39"/>
  <c r="L104" i="39" s="1"/>
  <c r="N104" i="39" s="1"/>
  <c r="B104" i="39"/>
  <c r="T103" i="39"/>
  <c r="X103" i="39" s="1"/>
  <c r="Z103" i="39" s="1"/>
  <c r="P103" i="39"/>
  <c r="H103" i="39"/>
  <c r="D103" i="39"/>
  <c r="L103" i="39" s="1"/>
  <c r="N103" i="39" s="1"/>
  <c r="B103" i="39"/>
  <c r="T102" i="39"/>
  <c r="H102" i="39"/>
  <c r="D102" i="39"/>
  <c r="L102" i="39" s="1"/>
  <c r="X100" i="39"/>
  <c r="Z100" i="39" s="1"/>
  <c r="L100" i="39"/>
  <c r="N100" i="39" s="1"/>
  <c r="B100" i="39"/>
  <c r="X99" i="39"/>
  <c r="Z99" i="39" s="1"/>
  <c r="T99" i="39"/>
  <c r="P99" i="39"/>
  <c r="H99" i="39"/>
  <c r="L99" i="39" s="1"/>
  <c r="N99" i="39" s="1"/>
  <c r="D99" i="39"/>
  <c r="B99" i="39"/>
  <c r="X98" i="39"/>
  <c r="Z98" i="39" s="1"/>
  <c r="N98" i="39"/>
  <c r="L98" i="39"/>
  <c r="B98" i="39"/>
  <c r="T97" i="39"/>
  <c r="X97" i="39" s="1"/>
  <c r="Z97" i="39" s="1"/>
  <c r="P97" i="39"/>
  <c r="N97" i="39"/>
  <c r="H97" i="39"/>
  <c r="D97" i="39"/>
  <c r="L97" i="39" s="1"/>
  <c r="B97" i="39"/>
  <c r="X96" i="39"/>
  <c r="Z96" i="39" s="1"/>
  <c r="L96" i="39"/>
  <c r="N96" i="39" s="1"/>
  <c r="B96" i="39"/>
  <c r="T95" i="39"/>
  <c r="P95" i="39"/>
  <c r="X95" i="39" s="1"/>
  <c r="Z95" i="39" s="1"/>
  <c r="H95" i="39"/>
  <c r="D95" i="39"/>
  <c r="L95" i="39" s="1"/>
  <c r="B95" i="39"/>
  <c r="Z94" i="39"/>
  <c r="X94" i="39"/>
  <c r="L94" i="39"/>
  <c r="N94" i="39" s="1"/>
  <c r="B94" i="39"/>
  <c r="Z93" i="39"/>
  <c r="X93" i="39"/>
  <c r="N93" i="39"/>
  <c r="L93" i="39"/>
  <c r="B93" i="39"/>
  <c r="Z92" i="39"/>
  <c r="X92" i="39"/>
  <c r="N92" i="39"/>
  <c r="L92" i="39"/>
  <c r="B92" i="39"/>
  <c r="Z91" i="39"/>
  <c r="X91" i="39"/>
  <c r="L91" i="39"/>
  <c r="N91" i="39" s="1"/>
  <c r="B91" i="39"/>
  <c r="X90" i="39"/>
  <c r="Z90" i="39" s="1"/>
  <c r="N90" i="39"/>
  <c r="L90" i="39"/>
  <c r="B90" i="39"/>
  <c r="Z89" i="39"/>
  <c r="X89" i="39"/>
  <c r="L89" i="39"/>
  <c r="N89" i="39" s="1"/>
  <c r="B89" i="39"/>
  <c r="X88" i="39"/>
  <c r="Z88" i="39" s="1"/>
  <c r="L88" i="39"/>
  <c r="N88" i="39" s="1"/>
  <c r="B88" i="39"/>
  <c r="X87" i="39"/>
  <c r="Z87" i="39" s="1"/>
  <c r="N87" i="39"/>
  <c r="L87" i="39"/>
  <c r="B87" i="39"/>
  <c r="T86" i="39"/>
  <c r="P86" i="39"/>
  <c r="X86" i="39" s="1"/>
  <c r="H86" i="39"/>
  <c r="N86" i="39" s="1"/>
  <c r="D86" i="39"/>
  <c r="L86" i="39" s="1"/>
  <c r="B86" i="39"/>
  <c r="Z85" i="39"/>
  <c r="X85" i="39"/>
  <c r="N85" i="39"/>
  <c r="L85" i="39"/>
  <c r="B85" i="39"/>
  <c r="T84" i="39"/>
  <c r="P84" i="39"/>
  <c r="X84" i="39" s="1"/>
  <c r="L84" i="39"/>
  <c r="H84" i="39"/>
  <c r="N84" i="39" s="1"/>
  <c r="D84" i="39"/>
  <c r="B84" i="39"/>
  <c r="Z83" i="39"/>
  <c r="X83" i="39"/>
  <c r="L83" i="39"/>
  <c r="N83" i="39" s="1"/>
  <c r="B83" i="39"/>
  <c r="X82" i="39"/>
  <c r="Z82" i="39" s="1"/>
  <c r="N82" i="39"/>
  <c r="L82" i="39"/>
  <c r="B82" i="39"/>
  <c r="Z81" i="39"/>
  <c r="X81" i="39"/>
  <c r="N81" i="39"/>
  <c r="L81" i="39"/>
  <c r="B81" i="39"/>
  <c r="X80" i="39"/>
  <c r="Z80" i="39" s="1"/>
  <c r="L80" i="39"/>
  <c r="N80" i="39" s="1"/>
  <c r="B80" i="39"/>
  <c r="X79" i="39"/>
  <c r="Z79" i="39" s="1"/>
  <c r="T79" i="39"/>
  <c r="P79" i="39"/>
  <c r="N79" i="39"/>
  <c r="H79" i="39"/>
  <c r="L79" i="39" s="1"/>
  <c r="D79" i="39"/>
  <c r="B79" i="39"/>
  <c r="X78" i="39"/>
  <c r="Z78" i="39" s="1"/>
  <c r="N78" i="39"/>
  <c r="L78" i="39"/>
  <c r="B78" i="39"/>
  <c r="T77" i="39"/>
  <c r="P77" i="39"/>
  <c r="X77" i="39" s="1"/>
  <c r="Z77" i="39" s="1"/>
  <c r="N77" i="39"/>
  <c r="H77" i="39"/>
  <c r="D77" i="39"/>
  <c r="L77" i="39" s="1"/>
  <c r="B77" i="39"/>
  <c r="X76" i="39"/>
  <c r="Z76" i="39" s="1"/>
  <c r="L76" i="39"/>
  <c r="N76" i="39" s="1"/>
  <c r="B76" i="39"/>
  <c r="Z75" i="39"/>
  <c r="X75" i="39"/>
  <c r="L75" i="39"/>
  <c r="N75" i="39" s="1"/>
  <c r="B75" i="39"/>
  <c r="Z74" i="39"/>
  <c r="X74" i="39"/>
  <c r="N74" i="39"/>
  <c r="L74" i="39"/>
  <c r="B74" i="39"/>
  <c r="T73" i="39"/>
  <c r="P73" i="39"/>
  <c r="X73" i="39" s="1"/>
  <c r="Z73" i="39" s="1"/>
  <c r="N73" i="39"/>
  <c r="H73" i="39"/>
  <c r="D73" i="39"/>
  <c r="L73" i="39" s="1"/>
  <c r="B73" i="39"/>
  <c r="X72" i="39"/>
  <c r="Z72" i="39" s="1"/>
  <c r="N72" i="39"/>
  <c r="L72" i="39"/>
  <c r="B72" i="39"/>
  <c r="Z71" i="39"/>
  <c r="T71" i="39"/>
  <c r="P71" i="39"/>
  <c r="X71" i="39" s="1"/>
  <c r="H71" i="39"/>
  <c r="N71" i="39" s="1"/>
  <c r="D71" i="39"/>
  <c r="L71" i="39" s="1"/>
  <c r="B71" i="39"/>
  <c r="Z70" i="39"/>
  <c r="X70" i="39"/>
  <c r="L70" i="39"/>
  <c r="N70" i="39" s="1"/>
  <c r="B70" i="39"/>
  <c r="T69" i="39"/>
  <c r="P69" i="39"/>
  <c r="X69" i="39" s="1"/>
  <c r="L69" i="39"/>
  <c r="N69" i="39" s="1"/>
  <c r="H69" i="39"/>
  <c r="D69" i="39"/>
  <c r="B69" i="39"/>
  <c r="X68" i="39"/>
  <c r="Z68" i="39" s="1"/>
  <c r="L68" i="39"/>
  <c r="N68" i="39" s="1"/>
  <c r="B68" i="39"/>
  <c r="X67" i="39"/>
  <c r="Z67" i="39" s="1"/>
  <c r="T67" i="39"/>
  <c r="P67" i="39"/>
  <c r="H67" i="39"/>
  <c r="L67" i="39" s="1"/>
  <c r="D67" i="39"/>
  <c r="B67" i="39"/>
  <c r="X66" i="39"/>
  <c r="Z66" i="39" s="1"/>
  <c r="N66" i="39"/>
  <c r="L66" i="39"/>
  <c r="B66" i="39"/>
  <c r="T65" i="39"/>
  <c r="P65" i="39"/>
  <c r="N65" i="39"/>
  <c r="H65" i="39"/>
  <c r="D65" i="39"/>
  <c r="L65" i="39" s="1"/>
  <c r="B65" i="39"/>
  <c r="X64" i="39"/>
  <c r="Z64" i="39" s="1"/>
  <c r="N64" i="39"/>
  <c r="L64" i="39"/>
  <c r="B64" i="39"/>
  <c r="Z63" i="39"/>
  <c r="X63" i="39"/>
  <c r="L63" i="39"/>
  <c r="N63" i="39" s="1"/>
  <c r="B63" i="39"/>
  <c r="X62" i="39"/>
  <c r="T62" i="39"/>
  <c r="Z62" i="39" s="1"/>
  <c r="P62" i="39"/>
  <c r="H62" i="39"/>
  <c r="L62" i="39" s="1"/>
  <c r="D62" i="39"/>
  <c r="B62" i="39"/>
  <c r="X61" i="39"/>
  <c r="Z61" i="39" s="1"/>
  <c r="N61" i="39"/>
  <c r="L61" i="39"/>
  <c r="B61" i="39"/>
  <c r="T60" i="39"/>
  <c r="P60" i="39"/>
  <c r="H60" i="39"/>
  <c r="D60" i="39"/>
  <c r="B60" i="39"/>
  <c r="Z59" i="39"/>
  <c r="X59" i="39"/>
  <c r="N59" i="39"/>
  <c r="L59" i="39"/>
  <c r="B59" i="39"/>
  <c r="T58" i="39"/>
  <c r="Z58" i="39" s="1"/>
  <c r="P58" i="39"/>
  <c r="X58" i="39" s="1"/>
  <c r="N58" i="39"/>
  <c r="H58" i="39"/>
  <c r="D58" i="39"/>
  <c r="L58" i="39" s="1"/>
  <c r="B58" i="39"/>
  <c r="Z57" i="39"/>
  <c r="X57" i="39"/>
  <c r="N57" i="39"/>
  <c r="L57" i="39"/>
  <c r="B57" i="39"/>
  <c r="X56" i="39"/>
  <c r="Z56" i="39" s="1"/>
  <c r="L56" i="39"/>
  <c r="N56" i="39" s="1"/>
  <c r="B56" i="39"/>
  <c r="X55" i="39"/>
  <c r="Z55" i="39" s="1"/>
  <c r="T55" i="39"/>
  <c r="P55" i="39"/>
  <c r="H55" i="39"/>
  <c r="L55" i="39" s="1"/>
  <c r="D55" i="39"/>
  <c r="B55" i="39"/>
  <c r="X54" i="39"/>
  <c r="Z54" i="39" s="1"/>
  <c r="N54" i="39"/>
  <c r="L54" i="39"/>
  <c r="B54" i="39"/>
  <c r="T53" i="39"/>
  <c r="X53" i="39" s="1"/>
  <c r="P53" i="39"/>
  <c r="H53" i="39"/>
  <c r="D53" i="39"/>
  <c r="L53" i="39" s="1"/>
  <c r="N53" i="39" s="1"/>
  <c r="B53" i="39"/>
  <c r="X52" i="39"/>
  <c r="Z52" i="39" s="1"/>
  <c r="L52" i="39"/>
  <c r="N52" i="39" s="1"/>
  <c r="B52" i="39"/>
  <c r="Z51" i="39"/>
  <c r="T51" i="39"/>
  <c r="P51" i="39"/>
  <c r="X51" i="39" s="1"/>
  <c r="H51" i="39"/>
  <c r="N51" i="39" s="1"/>
  <c r="D51" i="39"/>
  <c r="L51" i="39" s="1"/>
  <c r="B51" i="39"/>
  <c r="Z50" i="39"/>
  <c r="X50" i="39"/>
  <c r="L50" i="39"/>
  <c r="N50" i="39" s="1"/>
  <c r="B50" i="39"/>
  <c r="T49" i="39"/>
  <c r="P49" i="39"/>
  <c r="X49" i="39" s="1"/>
  <c r="L49" i="39"/>
  <c r="N49" i="39" s="1"/>
  <c r="H49" i="39"/>
  <c r="D49" i="39"/>
  <c r="B49" i="39"/>
  <c r="X48" i="39"/>
  <c r="Z48" i="39" s="1"/>
  <c r="L48" i="39"/>
  <c r="N48" i="39" s="1"/>
  <c r="B48" i="39"/>
  <c r="X47" i="39"/>
  <c r="Z47" i="39" s="1"/>
  <c r="N47" i="39"/>
  <c r="L47" i="39"/>
  <c r="B47" i="39"/>
  <c r="Z46" i="39"/>
  <c r="X46" i="39"/>
  <c r="L46" i="39"/>
  <c r="N46" i="39" s="1"/>
  <c r="B46" i="39"/>
  <c r="X45" i="39"/>
  <c r="Z45" i="39" s="1"/>
  <c r="N45" i="39"/>
  <c r="L45" i="39"/>
  <c r="B45" i="39"/>
  <c r="X44" i="39"/>
  <c r="Z44" i="39" s="1"/>
  <c r="L44" i="39"/>
  <c r="N44" i="39" s="1"/>
  <c r="B44" i="39"/>
  <c r="Z43" i="39"/>
  <c r="T43" i="39"/>
  <c r="P43" i="39"/>
  <c r="X43" i="39" s="1"/>
  <c r="H43" i="39"/>
  <c r="D43" i="39"/>
  <c r="L43" i="39" s="1"/>
  <c r="B43" i="39"/>
  <c r="Z42" i="39"/>
  <c r="X42" i="39"/>
  <c r="L42" i="39"/>
  <c r="N42" i="39" s="1"/>
  <c r="B42" i="39"/>
  <c r="X41" i="39"/>
  <c r="Z41" i="39" s="1"/>
  <c r="N41" i="39"/>
  <c r="L41" i="39"/>
  <c r="B41" i="39"/>
  <c r="X40" i="39"/>
  <c r="Z40" i="39" s="1"/>
  <c r="L40" i="39"/>
  <c r="N40" i="39" s="1"/>
  <c r="B40" i="39"/>
  <c r="Z39" i="39"/>
  <c r="X39" i="39"/>
  <c r="L39" i="39"/>
  <c r="N39" i="39" s="1"/>
  <c r="B39" i="39"/>
  <c r="X38" i="39"/>
  <c r="Z38" i="39" s="1"/>
  <c r="N38" i="39"/>
  <c r="L38" i="39"/>
  <c r="B38" i="39"/>
  <c r="Z37" i="39"/>
  <c r="X37" i="39"/>
  <c r="L37" i="39"/>
  <c r="N37" i="39" s="1"/>
  <c r="B37" i="39"/>
  <c r="X36" i="39"/>
  <c r="Z36" i="39" s="1"/>
  <c r="L36" i="39"/>
  <c r="N36" i="39" s="1"/>
  <c r="B36" i="39"/>
  <c r="X35" i="39"/>
  <c r="Z35" i="39" s="1"/>
  <c r="N35" i="39"/>
  <c r="L35" i="39"/>
  <c r="B35" i="39"/>
  <c r="T34" i="39"/>
  <c r="P34" i="39"/>
  <c r="H34" i="39"/>
  <c r="D34" i="39"/>
  <c r="L34" i="39" s="1"/>
  <c r="N34" i="39" s="1"/>
  <c r="B34" i="39"/>
  <c r="T33" i="39"/>
  <c r="P33" i="39"/>
  <c r="H33" i="39"/>
  <c r="D33" i="39"/>
  <c r="L33" i="39" s="1"/>
  <c r="N33" i="39" s="1"/>
  <c r="Z29" i="39"/>
  <c r="X29" i="39"/>
  <c r="L29" i="39"/>
  <c r="N29" i="39" s="1"/>
  <c r="B29" i="39"/>
  <c r="X28" i="39"/>
  <c r="Z28" i="39" s="1"/>
  <c r="L28" i="39"/>
  <c r="N28" i="39" s="1"/>
  <c r="B28" i="39"/>
  <c r="X27" i="39"/>
  <c r="Z27" i="39" s="1"/>
  <c r="T27" i="39"/>
  <c r="P27" i="39"/>
  <c r="H27" i="39"/>
  <c r="D27" i="39"/>
  <c r="T25" i="39"/>
  <c r="P25" i="39"/>
  <c r="N25" i="39"/>
  <c r="L25" i="39"/>
  <c r="H25" i="39"/>
  <c r="D25" i="39"/>
  <c r="B25" i="39"/>
  <c r="X24" i="39"/>
  <c r="T24" i="39"/>
  <c r="P24" i="39"/>
  <c r="H24" i="39"/>
  <c r="D24" i="39"/>
  <c r="L24" i="39" s="1"/>
  <c r="N24" i="39" s="1"/>
  <c r="B24" i="39"/>
  <c r="Z23" i="39"/>
  <c r="T23" i="39"/>
  <c r="P23" i="39"/>
  <c r="X23" i="39" s="1"/>
  <c r="H23" i="39"/>
  <c r="D23" i="39"/>
  <c r="B23" i="39"/>
  <c r="T22" i="39"/>
  <c r="P22" i="39"/>
  <c r="N22" i="39"/>
  <c r="L22" i="39"/>
  <c r="H22" i="39"/>
  <c r="D22" i="39"/>
  <c r="B22" i="39"/>
  <c r="X21" i="39"/>
  <c r="Z21" i="39" s="1"/>
  <c r="T21" i="39"/>
  <c r="P21" i="39"/>
  <c r="H21" i="39"/>
  <c r="N21" i="39" s="1"/>
  <c r="D21" i="39"/>
  <c r="L21" i="39" s="1"/>
  <c r="B21" i="39"/>
  <c r="Z20" i="39"/>
  <c r="T20" i="39"/>
  <c r="P20" i="39"/>
  <c r="X20" i="39" s="1"/>
  <c r="L20" i="39"/>
  <c r="H20" i="39"/>
  <c r="N20" i="39" s="1"/>
  <c r="D20" i="39"/>
  <c r="B20" i="39"/>
  <c r="T19" i="39"/>
  <c r="P19" i="39"/>
  <c r="N19" i="39"/>
  <c r="H19" i="39"/>
  <c r="D19" i="39"/>
  <c r="L19" i="39" s="1"/>
  <c r="B19" i="39"/>
  <c r="Z18" i="39"/>
  <c r="X18" i="39"/>
  <c r="T18" i="39"/>
  <c r="P18" i="39"/>
  <c r="H18" i="39"/>
  <c r="D18" i="39"/>
  <c r="B18" i="39"/>
  <c r="T17" i="39"/>
  <c r="P17" i="39"/>
  <c r="X17" i="39" s="1"/>
  <c r="L17" i="39"/>
  <c r="N17" i="39" s="1"/>
  <c r="H17" i="39"/>
  <c r="D17" i="39"/>
  <c r="B17" i="39"/>
  <c r="X16" i="39"/>
  <c r="T16" i="39"/>
  <c r="P16" i="39"/>
  <c r="N16" i="39"/>
  <c r="H16" i="39"/>
  <c r="D16" i="39"/>
  <c r="L16" i="39" s="1"/>
  <c r="B16" i="39"/>
  <c r="Z15" i="39"/>
  <c r="T15" i="39"/>
  <c r="P15" i="39"/>
  <c r="X15" i="39" s="1"/>
  <c r="H15" i="39"/>
  <c r="D15" i="39"/>
  <c r="B15" i="39"/>
  <c r="T14" i="39"/>
  <c r="P14" i="39"/>
  <c r="N14" i="39"/>
  <c r="H14" i="39"/>
  <c r="D14" i="39"/>
  <c r="B14" i="39"/>
  <c r="Z13" i="39"/>
  <c r="X13" i="39"/>
  <c r="T13" i="39"/>
  <c r="P13" i="39"/>
  <c r="N13" i="39"/>
  <c r="H13" i="39"/>
  <c r="D13" i="39"/>
  <c r="L13" i="39" s="1"/>
  <c r="B13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22" i="38" s="1"/>
  <c r="P12" i="38"/>
  <c r="R27" i="38" s="1"/>
  <c r="H12" i="38"/>
  <c r="J20" i="38" s="1"/>
  <c r="D12" i="38"/>
  <c r="F22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D20" i="37"/>
  <c r="T16" i="37"/>
  <c r="Z16" i="37" s="1"/>
  <c r="P16" i="37"/>
  <c r="H16" i="37"/>
  <c r="N16" i="37" s="1"/>
  <c r="D16" i="37"/>
  <c r="B16" i="37"/>
  <c r="T15" i="37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24" i="37" s="1"/>
  <c r="P12" i="37"/>
  <c r="R22" i="37" s="1"/>
  <c r="H12" i="37"/>
  <c r="D12" i="37"/>
  <c r="D5" i="37"/>
  <c r="D4" i="37"/>
  <c r="Z111" i="36"/>
  <c r="X111" i="36"/>
  <c r="L111" i="36"/>
  <c r="N111" i="36" s="1"/>
  <c r="X107" i="36"/>
  <c r="Z107" i="36" s="1"/>
  <c r="T107" i="36"/>
  <c r="P107" i="36"/>
  <c r="N107" i="36"/>
  <c r="H107" i="36"/>
  <c r="D107" i="36"/>
  <c r="L107" i="36" s="1"/>
  <c r="B107" i="36"/>
  <c r="X106" i="36"/>
  <c r="T106" i="36"/>
  <c r="P106" i="36"/>
  <c r="L106" i="36"/>
  <c r="H106" i="36"/>
  <c r="D106" i="36"/>
  <c r="D104" i="36" s="1"/>
  <c r="B106" i="36"/>
  <c r="X105" i="36"/>
  <c r="T105" i="36"/>
  <c r="Z105" i="36" s="1"/>
  <c r="P105" i="36"/>
  <c r="L105" i="36"/>
  <c r="N105" i="36" s="1"/>
  <c r="H105" i="36"/>
  <c r="D105" i="36"/>
  <c r="B105" i="36"/>
  <c r="P104" i="36"/>
  <c r="H104" i="36"/>
  <c r="L104" i="36" s="1"/>
  <c r="X102" i="36"/>
  <c r="Z102" i="36" s="1"/>
  <c r="L102" i="36"/>
  <c r="N102" i="36" s="1"/>
  <c r="B102" i="36"/>
  <c r="T101" i="36"/>
  <c r="P101" i="36"/>
  <c r="X101" i="36" s="1"/>
  <c r="Z101" i="36" s="1"/>
  <c r="L101" i="36"/>
  <c r="H101" i="36"/>
  <c r="N101" i="36" s="1"/>
  <c r="D101" i="36"/>
  <c r="B101" i="36"/>
  <c r="Z100" i="36"/>
  <c r="X100" i="36"/>
  <c r="N100" i="36"/>
  <c r="L100" i="36"/>
  <c r="B100" i="36"/>
  <c r="Z99" i="36"/>
  <c r="X99" i="36"/>
  <c r="N99" i="36"/>
  <c r="L99" i="36"/>
  <c r="B99" i="36"/>
  <c r="X98" i="36"/>
  <c r="T98" i="36"/>
  <c r="P98" i="36"/>
  <c r="H98" i="36"/>
  <c r="N98" i="36" s="1"/>
  <c r="D98" i="36"/>
  <c r="B98" i="36"/>
  <c r="Z97" i="36"/>
  <c r="X97" i="36"/>
  <c r="N97" i="36"/>
  <c r="L97" i="36"/>
  <c r="B97" i="36"/>
  <c r="T96" i="36"/>
  <c r="Z96" i="36" s="1"/>
  <c r="P96" i="36"/>
  <c r="X96" i="36" s="1"/>
  <c r="H96" i="36"/>
  <c r="D96" i="36"/>
  <c r="L96" i="36" s="1"/>
  <c r="N96" i="36" s="1"/>
  <c r="B96" i="36"/>
  <c r="Z95" i="36"/>
  <c r="X95" i="36"/>
  <c r="L95" i="36"/>
  <c r="N95" i="36" s="1"/>
  <c r="B95" i="36"/>
  <c r="X94" i="36"/>
  <c r="Z94" i="36" s="1"/>
  <c r="T94" i="36"/>
  <c r="P94" i="36"/>
  <c r="L94" i="36"/>
  <c r="H94" i="36"/>
  <c r="D94" i="36"/>
  <c r="B94" i="36"/>
  <c r="Z93" i="36"/>
  <c r="X93" i="36"/>
  <c r="N93" i="36"/>
  <c r="L93" i="36"/>
  <c r="B93" i="36"/>
  <c r="Z92" i="36"/>
  <c r="X92" i="36"/>
  <c r="N92" i="36"/>
  <c r="L92" i="36"/>
  <c r="B92" i="36"/>
  <c r="Z91" i="36"/>
  <c r="X91" i="36"/>
  <c r="N91" i="36"/>
  <c r="L91" i="36"/>
  <c r="B91" i="36"/>
  <c r="X90" i="36"/>
  <c r="Z90" i="36" s="1"/>
  <c r="L90" i="36"/>
  <c r="N90" i="36" s="1"/>
  <c r="B90" i="36"/>
  <c r="Z89" i="36"/>
  <c r="X89" i="36"/>
  <c r="N89" i="36"/>
  <c r="L89" i="36"/>
  <c r="B89" i="36"/>
  <c r="Z88" i="36"/>
  <c r="X88" i="36"/>
  <c r="L88" i="36"/>
  <c r="N88" i="36" s="1"/>
  <c r="B88" i="36"/>
  <c r="X87" i="36"/>
  <c r="Z87" i="36" s="1"/>
  <c r="N87" i="36"/>
  <c r="L87" i="36"/>
  <c r="B87" i="36"/>
  <c r="X86" i="36"/>
  <c r="Z86" i="36" s="1"/>
  <c r="L86" i="36"/>
  <c r="N86" i="36" s="1"/>
  <c r="B86" i="36"/>
  <c r="Z85" i="36"/>
  <c r="X85" i="36"/>
  <c r="L85" i="36"/>
  <c r="N85" i="36" s="1"/>
  <c r="B85" i="36"/>
  <c r="T84" i="36"/>
  <c r="P84" i="36"/>
  <c r="H84" i="36"/>
  <c r="D84" i="36"/>
  <c r="L84" i="36" s="1"/>
  <c r="B84" i="36"/>
  <c r="X83" i="36"/>
  <c r="Z83" i="36" s="1"/>
  <c r="N83" i="36"/>
  <c r="L83" i="36"/>
  <c r="B83" i="36"/>
  <c r="X82" i="36"/>
  <c r="T82" i="36"/>
  <c r="P82" i="36"/>
  <c r="H82" i="36"/>
  <c r="D82" i="36"/>
  <c r="B82" i="36"/>
  <c r="Z81" i="36"/>
  <c r="X81" i="36"/>
  <c r="N81" i="36"/>
  <c r="L81" i="36"/>
  <c r="B81" i="36"/>
  <c r="Z80" i="36"/>
  <c r="X80" i="36"/>
  <c r="L80" i="36"/>
  <c r="N80" i="36" s="1"/>
  <c r="B80" i="36"/>
  <c r="X79" i="36"/>
  <c r="Z79" i="36" s="1"/>
  <c r="N79" i="36"/>
  <c r="L79" i="36"/>
  <c r="B79" i="36"/>
  <c r="X78" i="36"/>
  <c r="Z78" i="36" s="1"/>
  <c r="L78" i="36"/>
  <c r="N78" i="36" s="1"/>
  <c r="B78" i="36"/>
  <c r="Z77" i="36"/>
  <c r="T77" i="36"/>
  <c r="P77" i="36"/>
  <c r="X77" i="36" s="1"/>
  <c r="H77" i="36"/>
  <c r="D77" i="36"/>
  <c r="L77" i="36" s="1"/>
  <c r="N77" i="36" s="1"/>
  <c r="B77" i="36"/>
  <c r="Z76" i="36"/>
  <c r="X76" i="36"/>
  <c r="N76" i="36"/>
  <c r="L76" i="36"/>
  <c r="B76" i="36"/>
  <c r="Z75" i="36"/>
  <c r="T75" i="36"/>
  <c r="P75" i="36"/>
  <c r="X75" i="36" s="1"/>
  <c r="N75" i="36"/>
  <c r="L75" i="36"/>
  <c r="H75" i="36"/>
  <c r="D75" i="36"/>
  <c r="B75" i="36"/>
  <c r="X74" i="36"/>
  <c r="Z74" i="36" s="1"/>
  <c r="L74" i="36"/>
  <c r="N74" i="36" s="1"/>
  <c r="B74" i="36"/>
  <c r="Z73" i="36"/>
  <c r="X73" i="36"/>
  <c r="N73" i="36"/>
  <c r="L73" i="36"/>
  <c r="B73" i="36"/>
  <c r="Z72" i="36"/>
  <c r="X72" i="36"/>
  <c r="N72" i="36"/>
  <c r="L72" i="36"/>
  <c r="B72" i="36"/>
  <c r="T71" i="36"/>
  <c r="P71" i="36"/>
  <c r="X71" i="36" s="1"/>
  <c r="Z71" i="36" s="1"/>
  <c r="L71" i="36"/>
  <c r="N71" i="36" s="1"/>
  <c r="H71" i="36"/>
  <c r="D71" i="36"/>
  <c r="B71" i="36"/>
  <c r="X70" i="36"/>
  <c r="Z70" i="36" s="1"/>
  <c r="N70" i="36"/>
  <c r="L70" i="36"/>
  <c r="B70" i="36"/>
  <c r="X69" i="36"/>
  <c r="Z69" i="36" s="1"/>
  <c r="T69" i="36"/>
  <c r="P69" i="36"/>
  <c r="H69" i="36"/>
  <c r="L69" i="36" s="1"/>
  <c r="D69" i="36"/>
  <c r="B69" i="36"/>
  <c r="X68" i="36"/>
  <c r="Z68" i="36" s="1"/>
  <c r="N68" i="36"/>
  <c r="L68" i="36"/>
  <c r="B68" i="36"/>
  <c r="T67" i="36"/>
  <c r="P67" i="36"/>
  <c r="H67" i="36"/>
  <c r="D67" i="36"/>
  <c r="L67" i="36" s="1"/>
  <c r="N67" i="36" s="1"/>
  <c r="B67" i="36"/>
  <c r="X66" i="36"/>
  <c r="Z66" i="36" s="1"/>
  <c r="L66" i="36"/>
  <c r="N66" i="36" s="1"/>
  <c r="B66" i="36"/>
  <c r="T65" i="36"/>
  <c r="P65" i="36"/>
  <c r="X65" i="36" s="1"/>
  <c r="Z65" i="36" s="1"/>
  <c r="H65" i="36"/>
  <c r="D65" i="36"/>
  <c r="L65" i="36" s="1"/>
  <c r="B65" i="36"/>
  <c r="Z64" i="36"/>
  <c r="X64" i="36"/>
  <c r="L64" i="36"/>
  <c r="N64" i="36" s="1"/>
  <c r="B64" i="36"/>
  <c r="T63" i="36"/>
  <c r="P63" i="36"/>
  <c r="X63" i="36" s="1"/>
  <c r="N63" i="36"/>
  <c r="L63" i="36"/>
  <c r="H63" i="36"/>
  <c r="D63" i="36"/>
  <c r="B63" i="36"/>
  <c r="X62" i="36"/>
  <c r="Z62" i="36" s="1"/>
  <c r="N62" i="36"/>
  <c r="L62" i="36"/>
  <c r="B62" i="36"/>
  <c r="Z61" i="36"/>
  <c r="X61" i="36"/>
  <c r="T61" i="36"/>
  <c r="P61" i="36"/>
  <c r="H61" i="36"/>
  <c r="L61" i="36" s="1"/>
  <c r="D61" i="36"/>
  <c r="B61" i="36"/>
  <c r="X60" i="36"/>
  <c r="Z60" i="36" s="1"/>
  <c r="N60" i="36"/>
  <c r="L60" i="36"/>
  <c r="B60" i="36"/>
  <c r="Z59" i="36"/>
  <c r="T59" i="36"/>
  <c r="X59" i="36" s="1"/>
  <c r="P59" i="36"/>
  <c r="N59" i="36"/>
  <c r="H59" i="36"/>
  <c r="D59" i="36"/>
  <c r="L59" i="36" s="1"/>
  <c r="B59" i="36"/>
  <c r="X58" i="36"/>
  <c r="Z58" i="36" s="1"/>
  <c r="L58" i="36"/>
  <c r="N58" i="36" s="1"/>
  <c r="B58" i="36"/>
  <c r="T57" i="36"/>
  <c r="P57" i="36"/>
  <c r="X57" i="36" s="1"/>
  <c r="Z57" i="36" s="1"/>
  <c r="H57" i="36"/>
  <c r="D57" i="36"/>
  <c r="L57" i="36" s="1"/>
  <c r="B57" i="36"/>
  <c r="Z56" i="36"/>
  <c r="X56" i="36"/>
  <c r="N56" i="36"/>
  <c r="L56" i="36"/>
  <c r="B56" i="36"/>
  <c r="X55" i="36"/>
  <c r="T55" i="36"/>
  <c r="Z55" i="36" s="1"/>
  <c r="P55" i="36"/>
  <c r="L55" i="36"/>
  <c r="H55" i="36"/>
  <c r="N55" i="36" s="1"/>
  <c r="D55" i="36"/>
  <c r="B55" i="36"/>
  <c r="Z54" i="36"/>
  <c r="X54" i="36"/>
  <c r="N54" i="36"/>
  <c r="L54" i="36"/>
  <c r="B54" i="36"/>
  <c r="Z53" i="36"/>
  <c r="X53" i="36"/>
  <c r="T53" i="36"/>
  <c r="P53" i="36"/>
  <c r="H53" i="36"/>
  <c r="D53" i="36"/>
  <c r="L53" i="36" s="1"/>
  <c r="B53" i="36"/>
  <c r="X52" i="36"/>
  <c r="Z52" i="36" s="1"/>
  <c r="N52" i="36"/>
  <c r="L52" i="36"/>
  <c r="B52" i="36"/>
  <c r="X51" i="36"/>
  <c r="Z51" i="36" s="1"/>
  <c r="L51" i="36"/>
  <c r="N51" i="36" s="1"/>
  <c r="B51" i="36"/>
  <c r="T50" i="36"/>
  <c r="P50" i="36"/>
  <c r="X50" i="36" s="1"/>
  <c r="Z50" i="36" s="1"/>
  <c r="L50" i="36"/>
  <c r="H50" i="36"/>
  <c r="D50" i="36"/>
  <c r="B50" i="36"/>
  <c r="Z49" i="36"/>
  <c r="X49" i="36"/>
  <c r="L49" i="36"/>
  <c r="N49" i="36" s="1"/>
  <c r="B49" i="36"/>
  <c r="T48" i="36"/>
  <c r="P48" i="36"/>
  <c r="H48" i="36"/>
  <c r="D48" i="36"/>
  <c r="L48" i="36" s="1"/>
  <c r="N48" i="36" s="1"/>
  <c r="B48" i="36"/>
  <c r="X47" i="36"/>
  <c r="Z47" i="36" s="1"/>
  <c r="N47" i="36"/>
  <c r="L47" i="36"/>
  <c r="B47" i="36"/>
  <c r="T46" i="36"/>
  <c r="Z46" i="36" s="1"/>
  <c r="P46" i="36"/>
  <c r="X46" i="36" s="1"/>
  <c r="L46" i="36"/>
  <c r="N46" i="36" s="1"/>
  <c r="H46" i="36"/>
  <c r="D46" i="36"/>
  <c r="B46" i="36"/>
  <c r="Z45" i="36"/>
  <c r="X45" i="36"/>
  <c r="N45" i="36"/>
  <c r="L45" i="36"/>
  <c r="B45" i="36"/>
  <c r="T44" i="36"/>
  <c r="P44" i="36"/>
  <c r="H44" i="36"/>
  <c r="D44" i="36"/>
  <c r="L44" i="36" s="1"/>
  <c r="N44" i="36" s="1"/>
  <c r="B44" i="36"/>
  <c r="X43" i="36"/>
  <c r="Z43" i="36" s="1"/>
  <c r="L43" i="36"/>
  <c r="N43" i="36" s="1"/>
  <c r="B43" i="36"/>
  <c r="Z42" i="36"/>
  <c r="X42" i="36"/>
  <c r="N42" i="36"/>
  <c r="L42" i="36"/>
  <c r="B42" i="36"/>
  <c r="Z41" i="36"/>
  <c r="X41" i="36"/>
  <c r="N41" i="36"/>
  <c r="L41" i="36"/>
  <c r="B41" i="36"/>
  <c r="X40" i="36"/>
  <c r="Z40" i="36" s="1"/>
  <c r="L40" i="36"/>
  <c r="N40" i="36" s="1"/>
  <c r="B40" i="36"/>
  <c r="X39" i="36"/>
  <c r="Z39" i="36" s="1"/>
  <c r="L39" i="36"/>
  <c r="N39" i="36" s="1"/>
  <c r="B39" i="36"/>
  <c r="X38" i="36"/>
  <c r="Z38" i="36" s="1"/>
  <c r="N38" i="36"/>
  <c r="L38" i="36"/>
  <c r="B38" i="36"/>
  <c r="Z37" i="36"/>
  <c r="T37" i="36"/>
  <c r="P37" i="36"/>
  <c r="X37" i="36" s="1"/>
  <c r="L37" i="36"/>
  <c r="N37" i="36" s="1"/>
  <c r="H37" i="36"/>
  <c r="D37" i="36"/>
  <c r="B37" i="36"/>
  <c r="X36" i="36"/>
  <c r="Z36" i="36" s="1"/>
  <c r="L36" i="36"/>
  <c r="N36" i="36" s="1"/>
  <c r="B36" i="36"/>
  <c r="X35" i="36"/>
  <c r="Z35" i="36" s="1"/>
  <c r="L35" i="36"/>
  <c r="N35" i="36" s="1"/>
  <c r="B35" i="36"/>
  <c r="Z34" i="36"/>
  <c r="X34" i="36"/>
  <c r="N34" i="36"/>
  <c r="L34" i="36"/>
  <c r="B34" i="36"/>
  <c r="Z33" i="36"/>
  <c r="X33" i="36"/>
  <c r="N33" i="36"/>
  <c r="L33" i="36"/>
  <c r="B33" i="36"/>
  <c r="X32" i="36"/>
  <c r="Z32" i="36" s="1"/>
  <c r="L32" i="36"/>
  <c r="N32" i="36" s="1"/>
  <c r="J32" i="36"/>
  <c r="B32" i="36"/>
  <c r="X31" i="36"/>
  <c r="Z31" i="36" s="1"/>
  <c r="L31" i="36"/>
  <c r="N31" i="36" s="1"/>
  <c r="B31" i="36"/>
  <c r="Z30" i="36"/>
  <c r="X30" i="36"/>
  <c r="N30" i="36"/>
  <c r="L30" i="36"/>
  <c r="B30" i="36"/>
  <c r="Z29" i="36"/>
  <c r="X29" i="36"/>
  <c r="N29" i="36"/>
  <c r="L29" i="36"/>
  <c r="B29" i="36"/>
  <c r="X28" i="36"/>
  <c r="Z28" i="36" s="1"/>
  <c r="L28" i="36"/>
  <c r="N28" i="36" s="1"/>
  <c r="B28" i="36"/>
  <c r="X27" i="36"/>
  <c r="Z27" i="36" s="1"/>
  <c r="T27" i="36"/>
  <c r="P27" i="36"/>
  <c r="H27" i="36"/>
  <c r="D27" i="36"/>
  <c r="B27" i="36"/>
  <c r="T26" i="36"/>
  <c r="P26" i="36"/>
  <c r="X26" i="36" s="1"/>
  <c r="Z26" i="36" s="1"/>
  <c r="H26" i="36"/>
  <c r="D26" i="36"/>
  <c r="L26" i="36" s="1"/>
  <c r="Z22" i="36"/>
  <c r="X22" i="36"/>
  <c r="L22" i="36"/>
  <c r="N22" i="36" s="1"/>
  <c r="B22" i="36"/>
  <c r="Z21" i="36"/>
  <c r="X21" i="36"/>
  <c r="N21" i="36"/>
  <c r="L21" i="36"/>
  <c r="B21" i="36"/>
  <c r="T20" i="36"/>
  <c r="P20" i="36"/>
  <c r="H20" i="36"/>
  <c r="D20" i="36"/>
  <c r="L20" i="36" s="1"/>
  <c r="N20" i="36" s="1"/>
  <c r="T18" i="36"/>
  <c r="Z18" i="36" s="1"/>
  <c r="P18" i="36"/>
  <c r="X18" i="36" s="1"/>
  <c r="H18" i="36"/>
  <c r="D18" i="36"/>
  <c r="B18" i="36"/>
  <c r="X17" i="36"/>
  <c r="T17" i="36"/>
  <c r="Z17" i="36" s="1"/>
  <c r="P17" i="36"/>
  <c r="L17" i="36"/>
  <c r="H17" i="36"/>
  <c r="D17" i="36"/>
  <c r="B17" i="36"/>
  <c r="Z16" i="36"/>
  <c r="X16" i="36"/>
  <c r="T16" i="36"/>
  <c r="P16" i="36"/>
  <c r="N16" i="36"/>
  <c r="L16" i="36"/>
  <c r="H16" i="36"/>
  <c r="D16" i="36"/>
  <c r="B16" i="36"/>
  <c r="T15" i="36"/>
  <c r="P15" i="36"/>
  <c r="X15" i="36" s="1"/>
  <c r="Z15" i="36" s="1"/>
  <c r="N15" i="36"/>
  <c r="H15" i="36"/>
  <c r="D15" i="36"/>
  <c r="L15" i="36" s="1"/>
  <c r="B15" i="36"/>
  <c r="T14" i="36"/>
  <c r="P14" i="36"/>
  <c r="H14" i="36"/>
  <c r="D14" i="36"/>
  <c r="D12" i="36" s="1"/>
  <c r="F32" i="36" s="1"/>
  <c r="B14" i="36"/>
  <c r="X13" i="36"/>
  <c r="T13" i="36"/>
  <c r="P13" i="36"/>
  <c r="L13" i="36"/>
  <c r="H13" i="36"/>
  <c r="H12" i="36" s="1"/>
  <c r="J102" i="36" s="1"/>
  <c r="D13" i="36"/>
  <c r="B13" i="36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P20" i="35"/>
  <c r="H20" i="35"/>
  <c r="N20" i="35" s="1"/>
  <c r="D20" i="35"/>
  <c r="T16" i="35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D13" i="35"/>
  <c r="B13" i="35"/>
  <c r="T12" i="35"/>
  <c r="V27" i="35" s="1"/>
  <c r="P12" i="35"/>
  <c r="R15" i="35" s="1"/>
  <c r="H12" i="35"/>
  <c r="J21" i="35" s="1"/>
  <c r="D12" i="35"/>
  <c r="F16" i="35" s="1"/>
  <c r="D5" i="35"/>
  <c r="D4" i="35"/>
  <c r="B39" i="34"/>
  <c r="B38" i="34"/>
  <c r="T34" i="34"/>
  <c r="Z34" i="34" s="1"/>
  <c r="P34" i="34"/>
  <c r="H34" i="34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D20" i="34"/>
  <c r="T16" i="34"/>
  <c r="Z16" i="34" s="1"/>
  <c r="P16" i="34"/>
  <c r="H16" i="34"/>
  <c r="D16" i="34"/>
  <c r="B16" i="34"/>
  <c r="T15" i="34"/>
  <c r="Z15" i="34" s="1"/>
  <c r="P15" i="34"/>
  <c r="H15" i="34"/>
  <c r="N15" i="34" s="1"/>
  <c r="D15" i="34"/>
  <c r="T13" i="34"/>
  <c r="P13" i="34"/>
  <c r="H13" i="34"/>
  <c r="N13" i="34" s="1"/>
  <c r="D13" i="34"/>
  <c r="B13" i="34"/>
  <c r="T12" i="34"/>
  <c r="V36" i="34" s="1"/>
  <c r="P12" i="34"/>
  <c r="H12" i="34"/>
  <c r="J36" i="34" s="1"/>
  <c r="D12" i="34"/>
  <c r="F16" i="34" s="1"/>
  <c r="D5" i="34"/>
  <c r="D4" i="34"/>
  <c r="X81" i="33"/>
  <c r="Z81" i="33" s="1"/>
  <c r="L81" i="33"/>
  <c r="N81" i="33" s="1"/>
  <c r="Z77" i="33"/>
  <c r="X77" i="33"/>
  <c r="T77" i="33"/>
  <c r="P77" i="33"/>
  <c r="H77" i="33"/>
  <c r="D77" i="33"/>
  <c r="B77" i="33"/>
  <c r="T76" i="33"/>
  <c r="P76" i="33"/>
  <c r="H76" i="33"/>
  <c r="D76" i="33"/>
  <c r="D75" i="33" s="1"/>
  <c r="B76" i="33"/>
  <c r="Z73" i="33"/>
  <c r="X73" i="33"/>
  <c r="N73" i="33"/>
  <c r="L73" i="33"/>
  <c r="B73" i="33"/>
  <c r="T72" i="33"/>
  <c r="P72" i="33"/>
  <c r="H72" i="33"/>
  <c r="N72" i="33" s="1"/>
  <c r="D72" i="33"/>
  <c r="L72" i="33" s="1"/>
  <c r="B72" i="33"/>
  <c r="X71" i="33"/>
  <c r="Z71" i="33" s="1"/>
  <c r="L71" i="33"/>
  <c r="N71" i="33" s="1"/>
  <c r="B71" i="33"/>
  <c r="T70" i="33"/>
  <c r="Z70" i="33" s="1"/>
  <c r="P70" i="33"/>
  <c r="X70" i="33" s="1"/>
  <c r="H70" i="33"/>
  <c r="N70" i="33" s="1"/>
  <c r="D70" i="33"/>
  <c r="L70" i="33" s="1"/>
  <c r="B70" i="33"/>
  <c r="Z69" i="33"/>
  <c r="X69" i="33"/>
  <c r="N69" i="33"/>
  <c r="L69" i="33"/>
  <c r="B69" i="33"/>
  <c r="X68" i="33"/>
  <c r="Z68" i="33" s="1"/>
  <c r="L68" i="33"/>
  <c r="N68" i="33" s="1"/>
  <c r="B68" i="33"/>
  <c r="X67" i="33"/>
  <c r="Z67" i="33" s="1"/>
  <c r="L67" i="33"/>
  <c r="N67" i="33" s="1"/>
  <c r="B67" i="33"/>
  <c r="Z66" i="33"/>
  <c r="X66" i="33"/>
  <c r="N66" i="33"/>
  <c r="L66" i="33"/>
  <c r="B66" i="33"/>
  <c r="Z65" i="33"/>
  <c r="X65" i="33"/>
  <c r="N65" i="33"/>
  <c r="L65" i="33"/>
  <c r="B65" i="33"/>
  <c r="T64" i="33"/>
  <c r="P64" i="33"/>
  <c r="H64" i="33"/>
  <c r="N64" i="33" s="1"/>
  <c r="D64" i="33"/>
  <c r="L64" i="33" s="1"/>
  <c r="B64" i="33"/>
  <c r="X63" i="33"/>
  <c r="Z63" i="33" s="1"/>
  <c r="L63" i="33"/>
  <c r="N63" i="33" s="1"/>
  <c r="B63" i="33"/>
  <c r="T62" i="33"/>
  <c r="P62" i="33"/>
  <c r="X62" i="33" s="1"/>
  <c r="H62" i="33"/>
  <c r="D62" i="33"/>
  <c r="L62" i="33" s="1"/>
  <c r="B62" i="33"/>
  <c r="Z61" i="33"/>
  <c r="X61" i="33"/>
  <c r="N61" i="33"/>
  <c r="L61" i="33"/>
  <c r="B61" i="33"/>
  <c r="X60" i="33"/>
  <c r="Z60" i="33" s="1"/>
  <c r="L60" i="33"/>
  <c r="N60" i="33" s="1"/>
  <c r="B60" i="33"/>
  <c r="X59" i="33"/>
  <c r="Z59" i="33" s="1"/>
  <c r="L59" i="33"/>
  <c r="N59" i="33" s="1"/>
  <c r="B59" i="33"/>
  <c r="T58" i="33"/>
  <c r="Z58" i="33" s="1"/>
  <c r="P58" i="33"/>
  <c r="X58" i="33" s="1"/>
  <c r="H58" i="33"/>
  <c r="N58" i="33" s="1"/>
  <c r="D58" i="33"/>
  <c r="L58" i="33" s="1"/>
  <c r="B58" i="33"/>
  <c r="Z57" i="33"/>
  <c r="X57" i="33"/>
  <c r="N57" i="33"/>
  <c r="L57" i="33"/>
  <c r="B57" i="33"/>
  <c r="T56" i="33"/>
  <c r="Z56" i="33" s="1"/>
  <c r="P56" i="33"/>
  <c r="X56" i="33" s="1"/>
  <c r="N56" i="33"/>
  <c r="L56" i="33"/>
  <c r="H56" i="33"/>
  <c r="D56" i="33"/>
  <c r="B56" i="33"/>
  <c r="X55" i="33"/>
  <c r="Z55" i="33" s="1"/>
  <c r="L55" i="33"/>
  <c r="N55" i="33" s="1"/>
  <c r="B55" i="33"/>
  <c r="Z54" i="33"/>
  <c r="X54" i="33"/>
  <c r="N54" i="33"/>
  <c r="L54" i="33"/>
  <c r="B54" i="33"/>
  <c r="T53" i="33"/>
  <c r="P53" i="33"/>
  <c r="X53" i="33" s="1"/>
  <c r="Z53" i="33" s="1"/>
  <c r="L53" i="33"/>
  <c r="N53" i="33" s="1"/>
  <c r="H53" i="33"/>
  <c r="D53" i="33"/>
  <c r="B53" i="33"/>
  <c r="X52" i="33"/>
  <c r="Z52" i="33" s="1"/>
  <c r="L52" i="33"/>
  <c r="N52" i="33" s="1"/>
  <c r="B52" i="33"/>
  <c r="X51" i="33"/>
  <c r="Z51" i="33" s="1"/>
  <c r="T51" i="33"/>
  <c r="P51" i="33"/>
  <c r="H51" i="33"/>
  <c r="D51" i="33"/>
  <c r="B51" i="33"/>
  <c r="Z50" i="33"/>
  <c r="X50" i="33"/>
  <c r="N50" i="33"/>
  <c r="L50" i="33"/>
  <c r="B50" i="33"/>
  <c r="T49" i="33"/>
  <c r="P49" i="33"/>
  <c r="H49" i="33"/>
  <c r="N49" i="33" s="1"/>
  <c r="D49" i="33"/>
  <c r="L49" i="33" s="1"/>
  <c r="B49" i="33"/>
  <c r="X48" i="33"/>
  <c r="Z48" i="33" s="1"/>
  <c r="L48" i="33"/>
  <c r="N48" i="33" s="1"/>
  <c r="B48" i="33"/>
  <c r="T47" i="33"/>
  <c r="Z47" i="33" s="1"/>
  <c r="P47" i="33"/>
  <c r="X47" i="33" s="1"/>
  <c r="N47" i="33"/>
  <c r="H47" i="33"/>
  <c r="D47" i="33"/>
  <c r="L47" i="33" s="1"/>
  <c r="B47" i="33"/>
  <c r="Z46" i="33"/>
  <c r="X46" i="33"/>
  <c r="N46" i="33"/>
  <c r="L46" i="33"/>
  <c r="B46" i="33"/>
  <c r="Z45" i="33"/>
  <c r="T45" i="33"/>
  <c r="P45" i="33"/>
  <c r="X45" i="33" s="1"/>
  <c r="N45" i="33"/>
  <c r="L45" i="33"/>
  <c r="H45" i="33"/>
  <c r="D45" i="33"/>
  <c r="B45" i="33"/>
  <c r="X44" i="33"/>
  <c r="Z44" i="33" s="1"/>
  <c r="N44" i="33"/>
  <c r="L44" i="33"/>
  <c r="B44" i="33"/>
  <c r="X43" i="33"/>
  <c r="Z43" i="33" s="1"/>
  <c r="N43" i="33"/>
  <c r="L43" i="33"/>
  <c r="B43" i="33"/>
  <c r="Z42" i="33"/>
  <c r="X42" i="33"/>
  <c r="N42" i="33"/>
  <c r="L42" i="33"/>
  <c r="B42" i="33"/>
  <c r="T41" i="33"/>
  <c r="P41" i="33"/>
  <c r="X41" i="33" s="1"/>
  <c r="Z41" i="33" s="1"/>
  <c r="L41" i="33"/>
  <c r="N41" i="33" s="1"/>
  <c r="H41" i="33"/>
  <c r="D41" i="33"/>
  <c r="B41" i="33"/>
  <c r="X40" i="33"/>
  <c r="Z40" i="33" s="1"/>
  <c r="N40" i="33"/>
  <c r="L40" i="33"/>
  <c r="B40" i="33"/>
  <c r="X39" i="33"/>
  <c r="Z39" i="33" s="1"/>
  <c r="L39" i="33"/>
  <c r="N39" i="33" s="1"/>
  <c r="B39" i="33"/>
  <c r="Z38" i="33"/>
  <c r="X38" i="33"/>
  <c r="N38" i="33"/>
  <c r="L38" i="33"/>
  <c r="B38" i="33"/>
  <c r="Z37" i="33"/>
  <c r="X37" i="33"/>
  <c r="N37" i="33"/>
  <c r="L37" i="33"/>
  <c r="B37" i="33"/>
  <c r="Z36" i="33"/>
  <c r="X36" i="33"/>
  <c r="L36" i="33"/>
  <c r="N36" i="33" s="1"/>
  <c r="B36" i="33"/>
  <c r="X35" i="33"/>
  <c r="Z35" i="33" s="1"/>
  <c r="L35" i="33"/>
  <c r="N35" i="33" s="1"/>
  <c r="B35" i="33"/>
  <c r="Z34" i="33"/>
  <c r="X34" i="33"/>
  <c r="L34" i="33"/>
  <c r="N34" i="33" s="1"/>
  <c r="B34" i="33"/>
  <c r="Z33" i="33"/>
  <c r="X33" i="33"/>
  <c r="N33" i="33"/>
  <c r="L33" i="33"/>
  <c r="B33" i="33"/>
  <c r="T32" i="33"/>
  <c r="P32" i="33"/>
  <c r="H32" i="33"/>
  <c r="D32" i="33"/>
  <c r="L32" i="33" s="1"/>
  <c r="B32" i="33"/>
  <c r="T31" i="33"/>
  <c r="P31" i="33"/>
  <c r="X31" i="33" s="1"/>
  <c r="N31" i="33"/>
  <c r="H31" i="33"/>
  <c r="D31" i="33"/>
  <c r="L31" i="33" s="1"/>
  <c r="Z27" i="33"/>
  <c r="X27" i="33"/>
  <c r="N27" i="33"/>
  <c r="L27" i="33"/>
  <c r="B27" i="33"/>
  <c r="Z26" i="33"/>
  <c r="X26" i="33"/>
  <c r="N26" i="33"/>
  <c r="L26" i="33"/>
  <c r="B26" i="33"/>
  <c r="T25" i="33"/>
  <c r="P25" i="33"/>
  <c r="H25" i="33"/>
  <c r="N25" i="33" s="1"/>
  <c r="D25" i="33"/>
  <c r="L25" i="33" s="1"/>
  <c r="Z23" i="33"/>
  <c r="T23" i="33"/>
  <c r="P23" i="33"/>
  <c r="X23" i="33" s="1"/>
  <c r="H23" i="33"/>
  <c r="D23" i="33"/>
  <c r="L23" i="33" s="1"/>
  <c r="B23" i="33"/>
  <c r="T22" i="33"/>
  <c r="Z22" i="33" s="1"/>
  <c r="P22" i="33"/>
  <c r="X22" i="33" s="1"/>
  <c r="H22" i="33"/>
  <c r="N22" i="33" s="1"/>
  <c r="D22" i="33"/>
  <c r="B22" i="33"/>
  <c r="X21" i="33"/>
  <c r="T21" i="33"/>
  <c r="Z21" i="33" s="1"/>
  <c r="P21" i="33"/>
  <c r="H21" i="33"/>
  <c r="D21" i="33"/>
  <c r="B21" i="33"/>
  <c r="T20" i="33"/>
  <c r="P20" i="33"/>
  <c r="X20" i="33" s="1"/>
  <c r="Z20" i="33" s="1"/>
  <c r="N20" i="33"/>
  <c r="L20" i="33"/>
  <c r="H20" i="33"/>
  <c r="D20" i="33"/>
  <c r="B20" i="33"/>
  <c r="T19" i="33"/>
  <c r="Z19" i="33" s="1"/>
  <c r="P19" i="33"/>
  <c r="X19" i="33" s="1"/>
  <c r="H19" i="33"/>
  <c r="D19" i="33"/>
  <c r="L19" i="33" s="1"/>
  <c r="N19" i="33" s="1"/>
  <c r="B19" i="33"/>
  <c r="T18" i="33"/>
  <c r="P18" i="33"/>
  <c r="H18" i="33"/>
  <c r="N18" i="33" s="1"/>
  <c r="D18" i="33"/>
  <c r="L18" i="33" s="1"/>
  <c r="B18" i="33"/>
  <c r="X17" i="33"/>
  <c r="T17" i="33"/>
  <c r="Z17" i="33" s="1"/>
  <c r="P17" i="33"/>
  <c r="L17" i="33"/>
  <c r="H17" i="33"/>
  <c r="N17" i="33" s="1"/>
  <c r="D17" i="33"/>
  <c r="B17" i="33"/>
  <c r="X16" i="33"/>
  <c r="Z16" i="33" s="1"/>
  <c r="T16" i="33"/>
  <c r="P16" i="33"/>
  <c r="N16" i="33"/>
  <c r="H16" i="33"/>
  <c r="D16" i="33"/>
  <c r="L16" i="33" s="1"/>
  <c r="B16" i="33"/>
  <c r="T15" i="33"/>
  <c r="P15" i="33"/>
  <c r="X15" i="33" s="1"/>
  <c r="Z15" i="33" s="1"/>
  <c r="H15" i="33"/>
  <c r="D15" i="33"/>
  <c r="L15" i="33" s="1"/>
  <c r="B15" i="33"/>
  <c r="T14" i="33"/>
  <c r="Z14" i="33" s="1"/>
  <c r="P14" i="33"/>
  <c r="X14" i="33" s="1"/>
  <c r="H14" i="33"/>
  <c r="D14" i="33"/>
  <c r="B14" i="33"/>
  <c r="X13" i="33"/>
  <c r="T13" i="33"/>
  <c r="T12" i="33" s="1"/>
  <c r="V77" i="33" s="1"/>
  <c r="P13" i="33"/>
  <c r="L13" i="33"/>
  <c r="H13" i="33"/>
  <c r="D13" i="33"/>
  <c r="B13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D33" i="32"/>
  <c r="T29" i="32"/>
  <c r="Z29" i="32" s="1"/>
  <c r="P29" i="32"/>
  <c r="H29" i="32"/>
  <c r="D29" i="32"/>
  <c r="T25" i="32"/>
  <c r="Z25" i="32" s="1"/>
  <c r="P25" i="32"/>
  <c r="H25" i="32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D22" i="32"/>
  <c r="B22" i="32"/>
  <c r="T21" i="32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D15" i="32"/>
  <c r="T13" i="32"/>
  <c r="Z13" i="32" s="1"/>
  <c r="P13" i="32"/>
  <c r="H13" i="32"/>
  <c r="N13" i="32" s="1"/>
  <c r="D13" i="32"/>
  <c r="B13" i="32"/>
  <c r="T12" i="32"/>
  <c r="V34" i="32" s="1"/>
  <c r="P12" i="32"/>
  <c r="R22" i="32" s="1"/>
  <c r="H12" i="32"/>
  <c r="J21" i="32" s="1"/>
  <c r="D12" i="32"/>
  <c r="F34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D33" i="31"/>
  <c r="T29" i="31"/>
  <c r="Z29" i="31" s="1"/>
  <c r="P29" i="31"/>
  <c r="H29" i="31"/>
  <c r="D29" i="31"/>
  <c r="T25" i="31"/>
  <c r="Z25" i="31" s="1"/>
  <c r="P25" i="31"/>
  <c r="H25" i="3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P21" i="31"/>
  <c r="H21" i="31"/>
  <c r="N21" i="31" s="1"/>
  <c r="D21" i="31"/>
  <c r="B21" i="31"/>
  <c r="T20" i="31"/>
  <c r="Z20" i="31" s="1"/>
  <c r="P20" i="31"/>
  <c r="H20" i="31"/>
  <c r="D20" i="31"/>
  <c r="T16" i="31"/>
  <c r="Z16" i="31" s="1"/>
  <c r="P16" i="31"/>
  <c r="H16" i="31"/>
  <c r="N16" i="31" s="1"/>
  <c r="D16" i="31"/>
  <c r="B16" i="31"/>
  <c r="T15" i="31"/>
  <c r="P15" i="31"/>
  <c r="H15" i="31"/>
  <c r="D15" i="31"/>
  <c r="T13" i="31"/>
  <c r="Z13" i="31" s="1"/>
  <c r="P13" i="31"/>
  <c r="H13" i="31"/>
  <c r="N13" i="31" s="1"/>
  <c r="D13" i="31"/>
  <c r="B13" i="31"/>
  <c r="T12" i="31"/>
  <c r="V20" i="31" s="1"/>
  <c r="P12" i="31"/>
  <c r="R24" i="31" s="1"/>
  <c r="H12" i="31"/>
  <c r="J27" i="31" s="1"/>
  <c r="D12" i="31"/>
  <c r="F20" i="31" s="1"/>
  <c r="D5" i="31"/>
  <c r="D4" i="31"/>
  <c r="X151" i="30"/>
  <c r="Z151" i="30" s="1"/>
  <c r="L151" i="30"/>
  <c r="N151" i="30" s="1"/>
  <c r="T147" i="30"/>
  <c r="P147" i="30"/>
  <c r="N147" i="30"/>
  <c r="H147" i="30"/>
  <c r="L147" i="30" s="1"/>
  <c r="D147" i="30"/>
  <c r="B147" i="30"/>
  <c r="Z146" i="30"/>
  <c r="X146" i="30"/>
  <c r="T146" i="30"/>
  <c r="P146" i="30"/>
  <c r="H146" i="30"/>
  <c r="D146" i="30"/>
  <c r="B146" i="30"/>
  <c r="T145" i="30"/>
  <c r="D145" i="30"/>
  <c r="Z143" i="30"/>
  <c r="X143" i="30"/>
  <c r="N143" i="30"/>
  <c r="L143" i="30"/>
  <c r="B143" i="30"/>
  <c r="T142" i="30"/>
  <c r="Z142" i="30" s="1"/>
  <c r="P142" i="30"/>
  <c r="X142" i="30" s="1"/>
  <c r="N142" i="30"/>
  <c r="L142" i="30"/>
  <c r="H142" i="30"/>
  <c r="D142" i="30"/>
  <c r="B142" i="30"/>
  <c r="X141" i="30"/>
  <c r="Z141" i="30" s="1"/>
  <c r="L141" i="30"/>
  <c r="N141" i="30" s="1"/>
  <c r="B141" i="30"/>
  <c r="Z140" i="30"/>
  <c r="X140" i="30"/>
  <c r="T140" i="30"/>
  <c r="P140" i="30"/>
  <c r="H140" i="30"/>
  <c r="D140" i="30"/>
  <c r="B140" i="30"/>
  <c r="Z139" i="30"/>
  <c r="X139" i="30"/>
  <c r="N139" i="30"/>
  <c r="L139" i="30"/>
  <c r="B139" i="30"/>
  <c r="T138" i="30"/>
  <c r="P138" i="30"/>
  <c r="H138" i="30"/>
  <c r="D138" i="30"/>
  <c r="L138" i="30" s="1"/>
  <c r="B138" i="30"/>
  <c r="X137" i="30"/>
  <c r="Z137" i="30" s="1"/>
  <c r="L137" i="30"/>
  <c r="N137" i="30" s="1"/>
  <c r="B137" i="30"/>
  <c r="Z136" i="30"/>
  <c r="X136" i="30"/>
  <c r="N136" i="30"/>
  <c r="L136" i="30"/>
  <c r="B136" i="30"/>
  <c r="Z135" i="30"/>
  <c r="X135" i="30"/>
  <c r="N135" i="30"/>
  <c r="L135" i="30"/>
  <c r="B135" i="30"/>
  <c r="X134" i="30"/>
  <c r="Z134" i="30" s="1"/>
  <c r="N134" i="30"/>
  <c r="L134" i="30"/>
  <c r="B134" i="30"/>
  <c r="X133" i="30"/>
  <c r="Z133" i="30" s="1"/>
  <c r="T133" i="30"/>
  <c r="P133" i="30"/>
  <c r="H133" i="30"/>
  <c r="D133" i="30"/>
  <c r="L133" i="30" s="1"/>
  <c r="B133" i="30"/>
  <c r="Z132" i="30"/>
  <c r="X132" i="30"/>
  <c r="N132" i="30"/>
  <c r="L132" i="30"/>
  <c r="B132" i="30"/>
  <c r="T131" i="30"/>
  <c r="P131" i="30"/>
  <c r="H131" i="30"/>
  <c r="D131" i="30"/>
  <c r="L131" i="30" s="1"/>
  <c r="N131" i="30" s="1"/>
  <c r="B131" i="30"/>
  <c r="X130" i="30"/>
  <c r="Z130" i="30" s="1"/>
  <c r="L130" i="30"/>
  <c r="N130" i="30" s="1"/>
  <c r="B130" i="30"/>
  <c r="X129" i="30"/>
  <c r="Z129" i="30" s="1"/>
  <c r="L129" i="30"/>
  <c r="N129" i="30" s="1"/>
  <c r="B129" i="30"/>
  <c r="T128" i="30"/>
  <c r="P128" i="30"/>
  <c r="X128" i="30" s="1"/>
  <c r="Z128" i="30" s="1"/>
  <c r="H128" i="30"/>
  <c r="D128" i="30"/>
  <c r="L128" i="30" s="1"/>
  <c r="N128" i="30" s="1"/>
  <c r="B128" i="30"/>
  <c r="Z127" i="30"/>
  <c r="X127" i="30"/>
  <c r="N127" i="30"/>
  <c r="L127" i="30"/>
  <c r="B127" i="30"/>
  <c r="Z126" i="30"/>
  <c r="X126" i="30"/>
  <c r="L126" i="30"/>
  <c r="N126" i="30" s="1"/>
  <c r="B126" i="30"/>
  <c r="T125" i="30"/>
  <c r="P125" i="30"/>
  <c r="X125" i="30" s="1"/>
  <c r="Z125" i="30" s="1"/>
  <c r="H125" i="30"/>
  <c r="L125" i="30" s="1"/>
  <c r="N125" i="30" s="1"/>
  <c r="D125" i="30"/>
  <c r="B125" i="30"/>
  <c r="Z124" i="30"/>
  <c r="X124" i="30"/>
  <c r="N124" i="30"/>
  <c r="L124" i="30"/>
  <c r="B124" i="30"/>
  <c r="Z123" i="30"/>
  <c r="X123" i="30"/>
  <c r="N123" i="30"/>
  <c r="L123" i="30"/>
  <c r="B123" i="30"/>
  <c r="Z122" i="30"/>
  <c r="X122" i="30"/>
  <c r="N122" i="30"/>
  <c r="L122" i="30"/>
  <c r="B122" i="30"/>
  <c r="T121" i="30"/>
  <c r="P121" i="30"/>
  <c r="X121" i="30" s="1"/>
  <c r="Z121" i="30" s="1"/>
  <c r="N121" i="30"/>
  <c r="H121" i="30"/>
  <c r="L121" i="30" s="1"/>
  <c r="D121" i="30"/>
  <c r="B121" i="30"/>
  <c r="X120" i="30"/>
  <c r="Z120" i="30" s="1"/>
  <c r="N120" i="30"/>
  <c r="L120" i="30"/>
  <c r="B120" i="30"/>
  <c r="Z119" i="30"/>
  <c r="T119" i="30"/>
  <c r="X119" i="30" s="1"/>
  <c r="P119" i="30"/>
  <c r="L119" i="30"/>
  <c r="N119" i="30" s="1"/>
  <c r="H119" i="30"/>
  <c r="D119" i="30"/>
  <c r="B119" i="30"/>
  <c r="Z118" i="30"/>
  <c r="X118" i="30"/>
  <c r="N118" i="30"/>
  <c r="L118" i="30"/>
  <c r="B118" i="30"/>
  <c r="Z117" i="30"/>
  <c r="X117" i="30"/>
  <c r="T117" i="30"/>
  <c r="P117" i="30"/>
  <c r="H117" i="30"/>
  <c r="N117" i="30" s="1"/>
  <c r="D117" i="30"/>
  <c r="B117" i="30"/>
  <c r="Z116" i="30"/>
  <c r="X116" i="30"/>
  <c r="N116" i="30"/>
  <c r="L116" i="30"/>
  <c r="B116" i="30"/>
  <c r="Z115" i="30"/>
  <c r="X115" i="30"/>
  <c r="N115" i="30"/>
  <c r="L115" i="30"/>
  <c r="B115" i="30"/>
  <c r="T114" i="30"/>
  <c r="P114" i="30"/>
  <c r="H114" i="30"/>
  <c r="D114" i="30"/>
  <c r="L114" i="30" s="1"/>
  <c r="N114" i="30" s="1"/>
  <c r="B114" i="30"/>
  <c r="X113" i="30"/>
  <c r="Z113" i="30" s="1"/>
  <c r="L113" i="30"/>
  <c r="N113" i="30" s="1"/>
  <c r="B113" i="30"/>
  <c r="T112" i="30"/>
  <c r="P112" i="30"/>
  <c r="X112" i="30" s="1"/>
  <c r="Z112" i="30" s="1"/>
  <c r="H112" i="30"/>
  <c r="D112" i="30"/>
  <c r="L112" i="30" s="1"/>
  <c r="N112" i="30" s="1"/>
  <c r="B112" i="30"/>
  <c r="Z111" i="30"/>
  <c r="X111" i="30"/>
  <c r="N111" i="30"/>
  <c r="L111" i="30"/>
  <c r="B111" i="30"/>
  <c r="Z110" i="30"/>
  <c r="X110" i="30"/>
  <c r="L110" i="30"/>
  <c r="N110" i="30" s="1"/>
  <c r="B110" i="30"/>
  <c r="T109" i="30"/>
  <c r="P109" i="30"/>
  <c r="X109" i="30" s="1"/>
  <c r="Z109" i="30" s="1"/>
  <c r="N109" i="30"/>
  <c r="H109" i="30"/>
  <c r="L109" i="30" s="1"/>
  <c r="D109" i="30"/>
  <c r="B109" i="30"/>
  <c r="Z108" i="30"/>
  <c r="X108" i="30"/>
  <c r="N108" i="30"/>
  <c r="L108" i="30"/>
  <c r="B108" i="30"/>
  <c r="Z107" i="30"/>
  <c r="T107" i="30"/>
  <c r="X107" i="30" s="1"/>
  <c r="P107" i="30"/>
  <c r="N107" i="30"/>
  <c r="L107" i="30"/>
  <c r="H107" i="30"/>
  <c r="D107" i="30"/>
  <c r="B107" i="30"/>
  <c r="Z106" i="30"/>
  <c r="X106" i="30"/>
  <c r="N106" i="30"/>
  <c r="L106" i="30"/>
  <c r="B106" i="30"/>
  <c r="Z105" i="30"/>
  <c r="X105" i="30"/>
  <c r="L105" i="30"/>
  <c r="N105" i="30" s="1"/>
  <c r="B105" i="30"/>
  <c r="Z104" i="30"/>
  <c r="X104" i="30"/>
  <c r="T104" i="30"/>
  <c r="P104" i="30"/>
  <c r="H104" i="30"/>
  <c r="D104" i="30"/>
  <c r="B104" i="30"/>
  <c r="Z103" i="30"/>
  <c r="X103" i="30"/>
  <c r="N103" i="30"/>
  <c r="L103" i="30"/>
  <c r="B103" i="30"/>
  <c r="T102" i="30"/>
  <c r="P102" i="30"/>
  <c r="H102" i="30"/>
  <c r="N102" i="30" s="1"/>
  <c r="D102" i="30"/>
  <c r="L102" i="30" s="1"/>
  <c r="B102" i="30"/>
  <c r="X101" i="30"/>
  <c r="Z101" i="30" s="1"/>
  <c r="L101" i="30"/>
  <c r="N101" i="30" s="1"/>
  <c r="B101" i="30"/>
  <c r="T100" i="30"/>
  <c r="Z100" i="30" s="1"/>
  <c r="P100" i="30"/>
  <c r="X100" i="30" s="1"/>
  <c r="H100" i="30"/>
  <c r="D100" i="30"/>
  <c r="L100" i="30" s="1"/>
  <c r="N100" i="30" s="1"/>
  <c r="B100" i="30"/>
  <c r="Z99" i="30"/>
  <c r="X99" i="30"/>
  <c r="N99" i="30"/>
  <c r="L99" i="30"/>
  <c r="B99" i="30"/>
  <c r="T98" i="30"/>
  <c r="P98" i="30"/>
  <c r="X98" i="30" s="1"/>
  <c r="Z98" i="30" s="1"/>
  <c r="L98" i="30"/>
  <c r="N98" i="30" s="1"/>
  <c r="H98" i="30"/>
  <c r="D98" i="30"/>
  <c r="B98" i="30"/>
  <c r="X97" i="30"/>
  <c r="Z97" i="30" s="1"/>
  <c r="L97" i="30"/>
  <c r="N97" i="30" s="1"/>
  <c r="B97" i="30"/>
  <c r="X96" i="30"/>
  <c r="Z96" i="30" s="1"/>
  <c r="N96" i="30"/>
  <c r="L96" i="30"/>
  <c r="B96" i="30"/>
  <c r="Z95" i="30"/>
  <c r="X95" i="30"/>
  <c r="N95" i="30"/>
  <c r="L95" i="30"/>
  <c r="B95" i="30"/>
  <c r="X94" i="30"/>
  <c r="Z94" i="30" s="1"/>
  <c r="L94" i="30"/>
  <c r="N94" i="30" s="1"/>
  <c r="B94" i="30"/>
  <c r="X93" i="30"/>
  <c r="Z93" i="30" s="1"/>
  <c r="L93" i="30"/>
  <c r="N93" i="30" s="1"/>
  <c r="B93" i="30"/>
  <c r="T92" i="30"/>
  <c r="Z92" i="30" s="1"/>
  <c r="P92" i="30"/>
  <c r="X92" i="30" s="1"/>
  <c r="H92" i="30"/>
  <c r="D92" i="30"/>
  <c r="L92" i="30" s="1"/>
  <c r="N92" i="30" s="1"/>
  <c r="B92" i="30"/>
  <c r="Z91" i="30"/>
  <c r="X91" i="30"/>
  <c r="N91" i="30"/>
  <c r="L91" i="30"/>
  <c r="B91" i="30"/>
  <c r="X90" i="30"/>
  <c r="Z90" i="30" s="1"/>
  <c r="L90" i="30"/>
  <c r="N90" i="30" s="1"/>
  <c r="B90" i="30"/>
  <c r="X89" i="30"/>
  <c r="Z89" i="30" s="1"/>
  <c r="L89" i="30"/>
  <c r="N89" i="30" s="1"/>
  <c r="B89" i="30"/>
  <c r="Z88" i="30"/>
  <c r="X88" i="30"/>
  <c r="L88" i="30"/>
  <c r="N88" i="30" s="1"/>
  <c r="B88" i="30"/>
  <c r="Z87" i="30"/>
  <c r="X87" i="30"/>
  <c r="N87" i="30"/>
  <c r="L87" i="30"/>
  <c r="B87" i="30"/>
  <c r="X86" i="30"/>
  <c r="Z86" i="30" s="1"/>
  <c r="N86" i="30"/>
  <c r="L86" i="30"/>
  <c r="B86" i="30"/>
  <c r="X85" i="30"/>
  <c r="Z85" i="30" s="1"/>
  <c r="L85" i="30"/>
  <c r="N85" i="30" s="1"/>
  <c r="B85" i="30"/>
  <c r="Z84" i="30"/>
  <c r="X84" i="30"/>
  <c r="N84" i="30"/>
  <c r="L84" i="30"/>
  <c r="B84" i="30"/>
  <c r="T83" i="30"/>
  <c r="X83" i="30" s="1"/>
  <c r="Z83" i="30" s="1"/>
  <c r="P83" i="30"/>
  <c r="L83" i="30"/>
  <c r="N83" i="30" s="1"/>
  <c r="H83" i="30"/>
  <c r="D83" i="30"/>
  <c r="B83" i="30"/>
  <c r="T82" i="30"/>
  <c r="P82" i="30"/>
  <c r="H82" i="30"/>
  <c r="D82" i="30"/>
  <c r="L82" i="30" s="1"/>
  <c r="X78" i="30"/>
  <c r="Z78" i="30" s="1"/>
  <c r="L78" i="30"/>
  <c r="N78" i="30" s="1"/>
  <c r="B78" i="30"/>
  <c r="Z77" i="30"/>
  <c r="X77" i="30"/>
  <c r="N77" i="30"/>
  <c r="L77" i="30"/>
  <c r="B77" i="30"/>
  <c r="Z76" i="30"/>
  <c r="X76" i="30"/>
  <c r="N76" i="30"/>
  <c r="L76" i="30"/>
  <c r="B76" i="30"/>
  <c r="Z75" i="30"/>
  <c r="X75" i="30"/>
  <c r="N75" i="30"/>
  <c r="L75" i="30"/>
  <c r="B75" i="30"/>
  <c r="X74" i="30"/>
  <c r="Z74" i="30" s="1"/>
  <c r="L74" i="30"/>
  <c r="N74" i="30" s="1"/>
  <c r="B74" i="30"/>
  <c r="X73" i="30"/>
  <c r="Z73" i="30" s="1"/>
  <c r="L73" i="30"/>
  <c r="N73" i="30" s="1"/>
  <c r="B73" i="30"/>
  <c r="Z72" i="30"/>
  <c r="X72" i="30"/>
  <c r="N72" i="30"/>
  <c r="L72" i="30"/>
  <c r="B72" i="30"/>
  <c r="Z71" i="30"/>
  <c r="X71" i="30"/>
  <c r="N71" i="30"/>
  <c r="L71" i="30"/>
  <c r="B71" i="30"/>
  <c r="X70" i="30"/>
  <c r="Z70" i="30" s="1"/>
  <c r="L70" i="30"/>
  <c r="N70" i="30" s="1"/>
  <c r="B70" i="30"/>
  <c r="Z69" i="30"/>
  <c r="X69" i="30"/>
  <c r="N69" i="30"/>
  <c r="L69" i="30"/>
  <c r="B69" i="30"/>
  <c r="X68" i="30"/>
  <c r="Z68" i="30" s="1"/>
  <c r="N68" i="30"/>
  <c r="L68" i="30"/>
  <c r="B68" i="30"/>
  <c r="Z67" i="30"/>
  <c r="X67" i="30"/>
  <c r="N67" i="30"/>
  <c r="L67" i="30"/>
  <c r="B67" i="30"/>
  <c r="X66" i="30"/>
  <c r="Z66" i="30" s="1"/>
  <c r="L66" i="30"/>
  <c r="N66" i="30" s="1"/>
  <c r="B66" i="30"/>
  <c r="Z65" i="30"/>
  <c r="X65" i="30"/>
  <c r="N65" i="30"/>
  <c r="L65" i="30"/>
  <c r="B65" i="30"/>
  <c r="Z64" i="30"/>
  <c r="X64" i="30"/>
  <c r="L64" i="30"/>
  <c r="N64" i="30" s="1"/>
  <c r="B64" i="30"/>
  <c r="Z63" i="30"/>
  <c r="X63" i="30"/>
  <c r="N63" i="30"/>
  <c r="L63" i="30"/>
  <c r="B63" i="30"/>
  <c r="X62" i="30"/>
  <c r="Z62" i="30" s="1"/>
  <c r="L62" i="30"/>
  <c r="N62" i="30" s="1"/>
  <c r="B62" i="30"/>
  <c r="X61" i="30"/>
  <c r="Z61" i="30" s="1"/>
  <c r="L61" i="30"/>
  <c r="N61" i="30" s="1"/>
  <c r="B61" i="30"/>
  <c r="Z60" i="30"/>
  <c r="X60" i="30"/>
  <c r="N60" i="30"/>
  <c r="L60" i="30"/>
  <c r="B60" i="30"/>
  <c r="Z59" i="30"/>
  <c r="X59" i="30"/>
  <c r="N59" i="30"/>
  <c r="L59" i="30"/>
  <c r="B59" i="30"/>
  <c r="X58" i="30"/>
  <c r="Z58" i="30" s="1"/>
  <c r="L58" i="30"/>
  <c r="N58" i="30" s="1"/>
  <c r="B58" i="30"/>
  <c r="X57" i="30"/>
  <c r="Z57" i="30" s="1"/>
  <c r="L57" i="30"/>
  <c r="N57" i="30" s="1"/>
  <c r="B57" i="30"/>
  <c r="Z56" i="30"/>
  <c r="X56" i="30"/>
  <c r="L56" i="30"/>
  <c r="N56" i="30" s="1"/>
  <c r="B56" i="30"/>
  <c r="Z55" i="30"/>
  <c r="X55" i="30"/>
  <c r="N55" i="30"/>
  <c r="L55" i="30"/>
  <c r="B55" i="30"/>
  <c r="T54" i="30"/>
  <c r="P54" i="30"/>
  <c r="H54" i="30"/>
  <c r="N54" i="30" s="1"/>
  <c r="D54" i="30"/>
  <c r="L54" i="30" s="1"/>
  <c r="T52" i="30"/>
  <c r="Z52" i="30" s="1"/>
  <c r="P52" i="30"/>
  <c r="H52" i="30"/>
  <c r="N52" i="30" s="1"/>
  <c r="D52" i="30"/>
  <c r="B52" i="30"/>
  <c r="X51" i="30"/>
  <c r="Z51" i="30" s="1"/>
  <c r="T51" i="30"/>
  <c r="P51" i="30"/>
  <c r="H51" i="30"/>
  <c r="N51" i="30" s="1"/>
  <c r="D51" i="30"/>
  <c r="B51" i="30"/>
  <c r="T50" i="30"/>
  <c r="P50" i="30"/>
  <c r="X50" i="30" s="1"/>
  <c r="Z50" i="30" s="1"/>
  <c r="N50" i="30"/>
  <c r="L50" i="30"/>
  <c r="H50" i="30"/>
  <c r="D50" i="30"/>
  <c r="B50" i="30"/>
  <c r="T49" i="30"/>
  <c r="Z49" i="30" s="1"/>
  <c r="P49" i="30"/>
  <c r="X49" i="30" s="1"/>
  <c r="N49" i="30"/>
  <c r="H49" i="30"/>
  <c r="D49" i="30"/>
  <c r="L49" i="30" s="1"/>
  <c r="B49" i="30"/>
  <c r="T48" i="30"/>
  <c r="Z48" i="30" s="1"/>
  <c r="P48" i="30"/>
  <c r="X48" i="30" s="1"/>
  <c r="H48" i="30"/>
  <c r="N48" i="30" s="1"/>
  <c r="D48" i="30"/>
  <c r="B48" i="30"/>
  <c r="T47" i="30"/>
  <c r="X47" i="30" s="1"/>
  <c r="P47" i="30"/>
  <c r="L47" i="30"/>
  <c r="N47" i="30" s="1"/>
  <c r="H47" i="30"/>
  <c r="D47" i="30"/>
  <c r="B47" i="30"/>
  <c r="Z46" i="30"/>
  <c r="X46" i="30"/>
  <c r="T46" i="30"/>
  <c r="P46" i="30"/>
  <c r="N46" i="30"/>
  <c r="H46" i="30"/>
  <c r="D46" i="30"/>
  <c r="L46" i="30" s="1"/>
  <c r="B46" i="30"/>
  <c r="Z45" i="30"/>
  <c r="T45" i="30"/>
  <c r="P45" i="30"/>
  <c r="X45" i="30" s="1"/>
  <c r="H45" i="30"/>
  <c r="D45" i="30"/>
  <c r="L45" i="30" s="1"/>
  <c r="B45" i="30"/>
  <c r="T44" i="30"/>
  <c r="P44" i="30"/>
  <c r="H44" i="30"/>
  <c r="D44" i="30"/>
  <c r="B44" i="30"/>
  <c r="X43" i="30"/>
  <c r="Z43" i="30" s="1"/>
  <c r="T43" i="30"/>
  <c r="P43" i="30"/>
  <c r="L43" i="30"/>
  <c r="H43" i="30"/>
  <c r="D43" i="30"/>
  <c r="B43" i="30"/>
  <c r="T42" i="30"/>
  <c r="P42" i="30"/>
  <c r="X42" i="30" s="1"/>
  <c r="Z42" i="30" s="1"/>
  <c r="L42" i="30"/>
  <c r="N42" i="30" s="1"/>
  <c r="H42" i="30"/>
  <c r="D42" i="30"/>
  <c r="B42" i="30"/>
  <c r="T41" i="30"/>
  <c r="P41" i="30"/>
  <c r="X41" i="30" s="1"/>
  <c r="H41" i="30"/>
  <c r="D41" i="30"/>
  <c r="L41" i="30" s="1"/>
  <c r="N41" i="30" s="1"/>
  <c r="B41" i="30"/>
  <c r="T40" i="30"/>
  <c r="P40" i="30"/>
  <c r="X40" i="30" s="1"/>
  <c r="H40" i="30"/>
  <c r="D40" i="30"/>
  <c r="B40" i="30"/>
  <c r="T39" i="30"/>
  <c r="Z39" i="30" s="1"/>
  <c r="P39" i="30"/>
  <c r="N39" i="30"/>
  <c r="L39" i="30"/>
  <c r="H39" i="30"/>
  <c r="D39" i="30"/>
  <c r="B39" i="30"/>
  <c r="X38" i="30"/>
  <c r="Z38" i="30" s="1"/>
  <c r="T38" i="30"/>
  <c r="P38" i="30"/>
  <c r="N38" i="30"/>
  <c r="H38" i="30"/>
  <c r="D38" i="30"/>
  <c r="L38" i="30" s="1"/>
  <c r="B38" i="30"/>
  <c r="Z37" i="30"/>
  <c r="T37" i="30"/>
  <c r="P37" i="30"/>
  <c r="X37" i="30" s="1"/>
  <c r="H37" i="30"/>
  <c r="D37" i="30"/>
  <c r="L37" i="30" s="1"/>
  <c r="B37" i="30"/>
  <c r="T36" i="30"/>
  <c r="P36" i="30"/>
  <c r="H36" i="30"/>
  <c r="D36" i="30"/>
  <c r="L36" i="30" s="1"/>
  <c r="B36" i="30"/>
  <c r="X35" i="30"/>
  <c r="Z35" i="30" s="1"/>
  <c r="T35" i="30"/>
  <c r="P35" i="30"/>
  <c r="L35" i="30"/>
  <c r="H35" i="30"/>
  <c r="D35" i="30"/>
  <c r="B35" i="30"/>
  <c r="T34" i="30"/>
  <c r="P34" i="30"/>
  <c r="X34" i="30" s="1"/>
  <c r="Z34" i="30" s="1"/>
  <c r="N34" i="30"/>
  <c r="L34" i="30"/>
  <c r="H34" i="30"/>
  <c r="D34" i="30"/>
  <c r="B34" i="30"/>
  <c r="T33" i="30"/>
  <c r="Z33" i="30" s="1"/>
  <c r="P33" i="30"/>
  <c r="X33" i="30" s="1"/>
  <c r="H33" i="30"/>
  <c r="D33" i="30"/>
  <c r="L33" i="30" s="1"/>
  <c r="N33" i="30" s="1"/>
  <c r="B33" i="30"/>
  <c r="T32" i="30"/>
  <c r="P32" i="30"/>
  <c r="X32" i="30" s="1"/>
  <c r="H32" i="30"/>
  <c r="N32" i="30" s="1"/>
  <c r="D32" i="30"/>
  <c r="B32" i="30"/>
  <c r="X31" i="30"/>
  <c r="T31" i="30"/>
  <c r="P31" i="30"/>
  <c r="N31" i="30"/>
  <c r="L31" i="30"/>
  <c r="H31" i="30"/>
  <c r="D31" i="30"/>
  <c r="B31" i="30"/>
  <c r="Z30" i="30"/>
  <c r="X30" i="30"/>
  <c r="T30" i="30"/>
  <c r="P30" i="30"/>
  <c r="N30" i="30"/>
  <c r="H30" i="30"/>
  <c r="D30" i="30"/>
  <c r="L30" i="30" s="1"/>
  <c r="B30" i="30"/>
  <c r="Z29" i="30"/>
  <c r="T29" i="30"/>
  <c r="P29" i="30"/>
  <c r="X29" i="30" s="1"/>
  <c r="H29" i="30"/>
  <c r="N29" i="30" s="1"/>
  <c r="D29" i="30"/>
  <c r="L29" i="30" s="1"/>
  <c r="B29" i="30"/>
  <c r="T28" i="30"/>
  <c r="P28" i="30"/>
  <c r="H28" i="30"/>
  <c r="D28" i="30"/>
  <c r="B28" i="30"/>
  <c r="X27" i="30"/>
  <c r="Z27" i="30" s="1"/>
  <c r="T27" i="30"/>
  <c r="P27" i="30"/>
  <c r="L27" i="30"/>
  <c r="H27" i="30"/>
  <c r="D27" i="30"/>
  <c r="B27" i="30"/>
  <c r="T26" i="30"/>
  <c r="P26" i="30"/>
  <c r="X26" i="30" s="1"/>
  <c r="Z26" i="30" s="1"/>
  <c r="N26" i="30"/>
  <c r="L26" i="30"/>
  <c r="H26" i="30"/>
  <c r="D26" i="30"/>
  <c r="B26" i="30"/>
  <c r="T25" i="30"/>
  <c r="Z25" i="30" s="1"/>
  <c r="P25" i="30"/>
  <c r="X25" i="30" s="1"/>
  <c r="N25" i="30"/>
  <c r="H25" i="30"/>
  <c r="D25" i="30"/>
  <c r="L25" i="30" s="1"/>
  <c r="B25" i="30"/>
  <c r="T24" i="30"/>
  <c r="P24" i="30"/>
  <c r="X24" i="30" s="1"/>
  <c r="H24" i="30"/>
  <c r="D24" i="30"/>
  <c r="B24" i="30"/>
  <c r="T23" i="30"/>
  <c r="P23" i="30"/>
  <c r="L23" i="30"/>
  <c r="N23" i="30" s="1"/>
  <c r="H23" i="30"/>
  <c r="D23" i="30"/>
  <c r="B23" i="30"/>
  <c r="X22" i="30"/>
  <c r="Z22" i="30" s="1"/>
  <c r="T22" i="30"/>
  <c r="P22" i="30"/>
  <c r="H22" i="30"/>
  <c r="D22" i="30"/>
  <c r="L22" i="30" s="1"/>
  <c r="N22" i="30" s="1"/>
  <c r="B22" i="30"/>
  <c r="T21" i="30"/>
  <c r="P21" i="30"/>
  <c r="X21" i="30" s="1"/>
  <c r="Z21" i="30" s="1"/>
  <c r="H21" i="30"/>
  <c r="N21" i="30" s="1"/>
  <c r="D21" i="30"/>
  <c r="L21" i="30" s="1"/>
  <c r="B21" i="30"/>
  <c r="T20" i="30"/>
  <c r="P20" i="30"/>
  <c r="H20" i="30"/>
  <c r="D20" i="30"/>
  <c r="B20" i="30"/>
  <c r="X19" i="30"/>
  <c r="Z19" i="30" s="1"/>
  <c r="T19" i="30"/>
  <c r="P19" i="30"/>
  <c r="L19" i="30"/>
  <c r="H19" i="30"/>
  <c r="D19" i="30"/>
  <c r="B19" i="30"/>
  <c r="T18" i="30"/>
  <c r="P18" i="30"/>
  <c r="X18" i="30" s="1"/>
  <c r="Z18" i="30" s="1"/>
  <c r="N18" i="30"/>
  <c r="L18" i="30"/>
  <c r="H18" i="30"/>
  <c r="D18" i="30"/>
  <c r="B18" i="30"/>
  <c r="T17" i="30"/>
  <c r="P17" i="30"/>
  <c r="X17" i="30" s="1"/>
  <c r="N17" i="30"/>
  <c r="H17" i="30"/>
  <c r="D17" i="30"/>
  <c r="L17" i="30" s="1"/>
  <c r="B17" i="30"/>
  <c r="T16" i="30"/>
  <c r="P16" i="30"/>
  <c r="X16" i="30" s="1"/>
  <c r="H16" i="30"/>
  <c r="D16" i="30"/>
  <c r="B16" i="30"/>
  <c r="T15" i="30"/>
  <c r="P15" i="30"/>
  <c r="L15" i="30"/>
  <c r="N15" i="30" s="1"/>
  <c r="H15" i="30"/>
  <c r="D15" i="30"/>
  <c r="B15" i="30"/>
  <c r="Z14" i="30"/>
  <c r="X14" i="30"/>
  <c r="T14" i="30"/>
  <c r="P14" i="30"/>
  <c r="H14" i="30"/>
  <c r="D14" i="30"/>
  <c r="L14" i="30" s="1"/>
  <c r="N14" i="30" s="1"/>
  <c r="B14" i="30"/>
  <c r="T13" i="30"/>
  <c r="P13" i="30"/>
  <c r="H13" i="30"/>
  <c r="D13" i="30"/>
  <c r="L13" i="30" s="1"/>
  <c r="B13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P12" i="29"/>
  <c r="R34" i="29" s="1"/>
  <c r="H12" i="29"/>
  <c r="J31" i="29" s="1"/>
  <c r="D12" i="29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P20" i="28"/>
  <c r="H20" i="28"/>
  <c r="N20" i="28" s="1"/>
  <c r="D20" i="28"/>
  <c r="T16" i="28"/>
  <c r="P16" i="28"/>
  <c r="H16" i="28"/>
  <c r="N16" i="28" s="1"/>
  <c r="D16" i="28"/>
  <c r="B16" i="28"/>
  <c r="T15" i="28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33" i="28" s="1"/>
  <c r="P12" i="28"/>
  <c r="R24" i="28" s="1"/>
  <c r="H12" i="28"/>
  <c r="J16" i="28" s="1"/>
  <c r="D12" i="28"/>
  <c r="F25" i="28" s="1"/>
  <c r="D5" i="28"/>
  <c r="D4" i="28"/>
  <c r="X112" i="27"/>
  <c r="Z112" i="27" s="1"/>
  <c r="N112" i="27"/>
  <c r="L112" i="27"/>
  <c r="Z108" i="27"/>
  <c r="T108" i="27"/>
  <c r="X108" i="27" s="1"/>
  <c r="P108" i="27"/>
  <c r="H108" i="27"/>
  <c r="D108" i="27"/>
  <c r="L108" i="27" s="1"/>
  <c r="N108" i="27" s="1"/>
  <c r="B108" i="27"/>
  <c r="T107" i="27"/>
  <c r="P107" i="27"/>
  <c r="P105" i="27" s="1"/>
  <c r="N107" i="27"/>
  <c r="H107" i="27"/>
  <c r="D107" i="27"/>
  <c r="B107" i="27"/>
  <c r="X106" i="27"/>
  <c r="Z106" i="27" s="1"/>
  <c r="T106" i="27"/>
  <c r="P106" i="27"/>
  <c r="H106" i="27"/>
  <c r="D106" i="27"/>
  <c r="L106" i="27" s="1"/>
  <c r="N106" i="27" s="1"/>
  <c r="B106" i="27"/>
  <c r="H105" i="27"/>
  <c r="Z103" i="27"/>
  <c r="X103" i="27"/>
  <c r="N103" i="27"/>
  <c r="L103" i="27"/>
  <c r="B103" i="27"/>
  <c r="X102" i="27"/>
  <c r="T102" i="27"/>
  <c r="Z102" i="27" s="1"/>
  <c r="P102" i="27"/>
  <c r="N102" i="27"/>
  <c r="L102" i="27"/>
  <c r="H102" i="27"/>
  <c r="D102" i="27"/>
  <c r="B102" i="27"/>
  <c r="X101" i="27"/>
  <c r="Z101" i="27" s="1"/>
  <c r="L101" i="27"/>
  <c r="N101" i="27" s="1"/>
  <c r="B101" i="27"/>
  <c r="X100" i="27"/>
  <c r="Z100" i="27" s="1"/>
  <c r="N100" i="27"/>
  <c r="L100" i="27"/>
  <c r="B100" i="27"/>
  <c r="T99" i="27"/>
  <c r="P99" i="27"/>
  <c r="X99" i="27" s="1"/>
  <c r="Z99" i="27" s="1"/>
  <c r="L99" i="27"/>
  <c r="N99" i="27" s="1"/>
  <c r="H99" i="27"/>
  <c r="D99" i="27"/>
  <c r="B99" i="27"/>
  <c r="Z98" i="27"/>
  <c r="X98" i="27"/>
  <c r="N98" i="27"/>
  <c r="L98" i="27"/>
  <c r="B98" i="27"/>
  <c r="X97" i="27"/>
  <c r="Z97" i="27" s="1"/>
  <c r="L97" i="27"/>
  <c r="N97" i="27" s="1"/>
  <c r="B97" i="27"/>
  <c r="X96" i="27"/>
  <c r="Z96" i="27" s="1"/>
  <c r="T96" i="27"/>
  <c r="P96" i="27"/>
  <c r="N96" i="27"/>
  <c r="H96" i="27"/>
  <c r="D96" i="27"/>
  <c r="L96" i="27" s="1"/>
  <c r="B96" i="27"/>
  <c r="X95" i="27"/>
  <c r="Z95" i="27" s="1"/>
  <c r="N95" i="27"/>
  <c r="L95" i="27"/>
  <c r="B95" i="27"/>
  <c r="Z94" i="27"/>
  <c r="T94" i="27"/>
  <c r="P94" i="27"/>
  <c r="X94" i="27" s="1"/>
  <c r="H94" i="27"/>
  <c r="D94" i="27"/>
  <c r="L94" i="27" s="1"/>
  <c r="N94" i="27" s="1"/>
  <c r="B94" i="27"/>
  <c r="X93" i="27"/>
  <c r="Z93" i="27" s="1"/>
  <c r="N93" i="27"/>
  <c r="L93" i="27"/>
  <c r="B93" i="27"/>
  <c r="Z92" i="27"/>
  <c r="X92" i="27"/>
  <c r="L92" i="27"/>
  <c r="N92" i="27" s="1"/>
  <c r="B92" i="27"/>
  <c r="Z91" i="27"/>
  <c r="X91" i="27"/>
  <c r="N91" i="27"/>
  <c r="L91" i="27"/>
  <c r="B91" i="27"/>
  <c r="T90" i="27"/>
  <c r="P90" i="27"/>
  <c r="X90" i="27" s="1"/>
  <c r="Z90" i="27" s="1"/>
  <c r="H90" i="27"/>
  <c r="D90" i="27"/>
  <c r="L90" i="27" s="1"/>
  <c r="N90" i="27" s="1"/>
  <c r="B90" i="27"/>
  <c r="X89" i="27"/>
  <c r="Z89" i="27" s="1"/>
  <c r="L89" i="27"/>
  <c r="N89" i="27" s="1"/>
  <c r="B89" i="27"/>
  <c r="T88" i="27"/>
  <c r="P88" i="27"/>
  <c r="X88" i="27" s="1"/>
  <c r="Z88" i="27" s="1"/>
  <c r="L88" i="27"/>
  <c r="H88" i="27"/>
  <c r="N88" i="27" s="1"/>
  <c r="D88" i="27"/>
  <c r="B88" i="27"/>
  <c r="Z87" i="27"/>
  <c r="X87" i="27"/>
  <c r="L87" i="27"/>
  <c r="N87" i="27" s="1"/>
  <c r="B87" i="27"/>
  <c r="X86" i="27"/>
  <c r="T86" i="27"/>
  <c r="Z86" i="27" s="1"/>
  <c r="P86" i="27"/>
  <c r="L86" i="27"/>
  <c r="H86" i="27"/>
  <c r="N86" i="27" s="1"/>
  <c r="D86" i="27"/>
  <c r="B86" i="27"/>
  <c r="X85" i="27"/>
  <c r="Z85" i="27" s="1"/>
  <c r="N85" i="27"/>
  <c r="L85" i="27"/>
  <c r="B85" i="27"/>
  <c r="X84" i="27"/>
  <c r="T84" i="27"/>
  <c r="Z84" i="27" s="1"/>
  <c r="P84" i="27"/>
  <c r="H84" i="27"/>
  <c r="D84" i="27"/>
  <c r="L84" i="27" s="1"/>
  <c r="N84" i="27" s="1"/>
  <c r="B84" i="27"/>
  <c r="X83" i="27"/>
  <c r="Z83" i="27" s="1"/>
  <c r="N83" i="27"/>
  <c r="L83" i="27"/>
  <c r="B83" i="27"/>
  <c r="T82" i="27"/>
  <c r="P82" i="27"/>
  <c r="X82" i="27" s="1"/>
  <c r="Z82" i="27" s="1"/>
  <c r="H82" i="27"/>
  <c r="D82" i="27"/>
  <c r="L82" i="27" s="1"/>
  <c r="N82" i="27" s="1"/>
  <c r="B82" i="27"/>
  <c r="Z81" i="27"/>
  <c r="X81" i="27"/>
  <c r="N81" i="27"/>
  <c r="L81" i="27"/>
  <c r="B81" i="27"/>
  <c r="T80" i="27"/>
  <c r="P80" i="27"/>
  <c r="X80" i="27" s="1"/>
  <c r="Z80" i="27" s="1"/>
  <c r="L80" i="27"/>
  <c r="H80" i="27"/>
  <c r="N80" i="27" s="1"/>
  <c r="D80" i="27"/>
  <c r="B80" i="27"/>
  <c r="Z79" i="27"/>
  <c r="X79" i="27"/>
  <c r="N79" i="27"/>
  <c r="L79" i="27"/>
  <c r="B79" i="27"/>
  <c r="X78" i="27"/>
  <c r="T78" i="27"/>
  <c r="Z78" i="27" s="1"/>
  <c r="P78" i="27"/>
  <c r="L78" i="27"/>
  <c r="H78" i="27"/>
  <c r="N78" i="27" s="1"/>
  <c r="D78" i="27"/>
  <c r="B78" i="27"/>
  <c r="X77" i="27"/>
  <c r="Z77" i="27" s="1"/>
  <c r="N77" i="27"/>
  <c r="L77" i="27"/>
  <c r="B77" i="27"/>
  <c r="X76" i="27"/>
  <c r="T76" i="27"/>
  <c r="Z76" i="27" s="1"/>
  <c r="P76" i="27"/>
  <c r="N76" i="27"/>
  <c r="H76" i="27"/>
  <c r="D76" i="27"/>
  <c r="L76" i="27" s="1"/>
  <c r="B76" i="27"/>
  <c r="Z75" i="27"/>
  <c r="X75" i="27"/>
  <c r="N75" i="27"/>
  <c r="L75" i="27"/>
  <c r="B75" i="27"/>
  <c r="Z74" i="27"/>
  <c r="X74" i="27"/>
  <c r="L74" i="27"/>
  <c r="N74" i="27" s="1"/>
  <c r="B74" i="27"/>
  <c r="X73" i="27"/>
  <c r="Z73" i="27" s="1"/>
  <c r="N73" i="27"/>
  <c r="L73" i="27"/>
  <c r="B73" i="27"/>
  <c r="X72" i="27"/>
  <c r="Z72" i="27" s="1"/>
  <c r="N72" i="27"/>
  <c r="L72" i="27"/>
  <c r="B72" i="27"/>
  <c r="Z71" i="27"/>
  <c r="X71" i="27"/>
  <c r="L71" i="27"/>
  <c r="N71" i="27" s="1"/>
  <c r="B71" i="27"/>
  <c r="X70" i="27"/>
  <c r="Z70" i="27" s="1"/>
  <c r="N70" i="27"/>
  <c r="L70" i="27"/>
  <c r="B70" i="27"/>
  <c r="Z69" i="27"/>
  <c r="X69" i="27"/>
  <c r="N69" i="27"/>
  <c r="L69" i="27"/>
  <c r="B69" i="27"/>
  <c r="T68" i="27"/>
  <c r="P68" i="27"/>
  <c r="X68" i="27" s="1"/>
  <c r="Z68" i="27" s="1"/>
  <c r="L68" i="27"/>
  <c r="H68" i="27"/>
  <c r="N68" i="27" s="1"/>
  <c r="D68" i="27"/>
  <c r="B68" i="27"/>
  <c r="Z67" i="27"/>
  <c r="X67" i="27"/>
  <c r="L67" i="27"/>
  <c r="N67" i="27" s="1"/>
  <c r="B67" i="27"/>
  <c r="X66" i="27"/>
  <c r="Z66" i="27" s="1"/>
  <c r="N66" i="27"/>
  <c r="L66" i="27"/>
  <c r="B66" i="27"/>
  <c r="Z65" i="27"/>
  <c r="X65" i="27"/>
  <c r="L65" i="27"/>
  <c r="N65" i="27" s="1"/>
  <c r="B65" i="27"/>
  <c r="Z64" i="27"/>
  <c r="X64" i="27"/>
  <c r="L64" i="27"/>
  <c r="N64" i="27" s="1"/>
  <c r="B64" i="27"/>
  <c r="X63" i="27"/>
  <c r="Z63" i="27" s="1"/>
  <c r="N63" i="27"/>
  <c r="L63" i="27"/>
  <c r="B63" i="27"/>
  <c r="Z62" i="27"/>
  <c r="X62" i="27"/>
  <c r="L62" i="27"/>
  <c r="N62" i="27" s="1"/>
  <c r="B62" i="27"/>
  <c r="X61" i="27"/>
  <c r="Z61" i="27" s="1"/>
  <c r="N61" i="27"/>
  <c r="L61" i="27"/>
  <c r="B61" i="27"/>
  <c r="X60" i="27"/>
  <c r="Z60" i="27" s="1"/>
  <c r="N60" i="27"/>
  <c r="L60" i="27"/>
  <c r="B60" i="27"/>
  <c r="Z59" i="27"/>
  <c r="X59" i="27"/>
  <c r="L59" i="27"/>
  <c r="N59" i="27" s="1"/>
  <c r="B59" i="27"/>
  <c r="X58" i="27"/>
  <c r="T58" i="27"/>
  <c r="Z58" i="27" s="1"/>
  <c r="P58" i="27"/>
  <c r="L58" i="27"/>
  <c r="H58" i="27"/>
  <c r="N58" i="27" s="1"/>
  <c r="D58" i="27"/>
  <c r="B58" i="27"/>
  <c r="X57" i="27"/>
  <c r="T57" i="27"/>
  <c r="Z57" i="27" s="1"/>
  <c r="P57" i="27"/>
  <c r="L57" i="27"/>
  <c r="H57" i="27"/>
  <c r="N57" i="27" s="1"/>
  <c r="D57" i="27"/>
  <c r="Z53" i="27"/>
  <c r="X53" i="27"/>
  <c r="N53" i="27"/>
  <c r="L53" i="27"/>
  <c r="B53" i="27"/>
  <c r="X52" i="27"/>
  <c r="Z52" i="27" s="1"/>
  <c r="N52" i="27"/>
  <c r="L52" i="27"/>
  <c r="B52" i="27"/>
  <c r="Z51" i="27"/>
  <c r="X51" i="27"/>
  <c r="L51" i="27"/>
  <c r="N51" i="27" s="1"/>
  <c r="B51" i="27"/>
  <c r="X50" i="27"/>
  <c r="Z50" i="27" s="1"/>
  <c r="N50" i="27"/>
  <c r="L50" i="27"/>
  <c r="B50" i="27"/>
  <c r="Z49" i="27"/>
  <c r="X49" i="27"/>
  <c r="N49" i="27"/>
  <c r="L49" i="27"/>
  <c r="B49" i="27"/>
  <c r="Z48" i="27"/>
  <c r="X48" i="27"/>
  <c r="L48" i="27"/>
  <c r="N48" i="27" s="1"/>
  <c r="B48" i="27"/>
  <c r="X47" i="27"/>
  <c r="Z47" i="27" s="1"/>
  <c r="N47" i="27"/>
  <c r="L47" i="27"/>
  <c r="B47" i="27"/>
  <c r="Z46" i="27"/>
  <c r="X46" i="27"/>
  <c r="L46" i="27"/>
  <c r="N46" i="27" s="1"/>
  <c r="B46" i="27"/>
  <c r="X45" i="27"/>
  <c r="Z45" i="27" s="1"/>
  <c r="N45" i="27"/>
  <c r="L45" i="27"/>
  <c r="B45" i="27"/>
  <c r="X44" i="27"/>
  <c r="Z44" i="27" s="1"/>
  <c r="N44" i="27"/>
  <c r="L44" i="27"/>
  <c r="B44" i="27"/>
  <c r="Z43" i="27"/>
  <c r="X43" i="27"/>
  <c r="L43" i="27"/>
  <c r="N43" i="27" s="1"/>
  <c r="B43" i="27"/>
  <c r="X42" i="27"/>
  <c r="Z42" i="27" s="1"/>
  <c r="N42" i="27"/>
  <c r="L42" i="27"/>
  <c r="B42" i="27"/>
  <c r="Z41" i="27"/>
  <c r="X41" i="27"/>
  <c r="L41" i="27"/>
  <c r="N41" i="27" s="1"/>
  <c r="B41" i="27"/>
  <c r="Z40" i="27"/>
  <c r="X40" i="27"/>
  <c r="L40" i="27"/>
  <c r="N40" i="27" s="1"/>
  <c r="B40" i="27"/>
  <c r="Z39" i="27"/>
  <c r="X39" i="27"/>
  <c r="N39" i="27"/>
  <c r="L39" i="27"/>
  <c r="B39" i="27"/>
  <c r="Z38" i="27"/>
  <c r="T38" i="27"/>
  <c r="P38" i="27"/>
  <c r="X38" i="27" s="1"/>
  <c r="H38" i="27"/>
  <c r="D38" i="27"/>
  <c r="L38" i="27" s="1"/>
  <c r="N38" i="27" s="1"/>
  <c r="X36" i="27"/>
  <c r="T36" i="27"/>
  <c r="Z36" i="27" s="1"/>
  <c r="P36" i="27"/>
  <c r="N36" i="27"/>
  <c r="H36" i="27"/>
  <c r="D36" i="27"/>
  <c r="L36" i="27" s="1"/>
  <c r="B36" i="27"/>
  <c r="T35" i="27"/>
  <c r="P35" i="27"/>
  <c r="X35" i="27" s="1"/>
  <c r="Z35" i="27" s="1"/>
  <c r="H35" i="27"/>
  <c r="D35" i="27"/>
  <c r="B35" i="27"/>
  <c r="T34" i="27"/>
  <c r="P34" i="27"/>
  <c r="L34" i="27"/>
  <c r="N34" i="27" s="1"/>
  <c r="H34" i="27"/>
  <c r="D34" i="27"/>
  <c r="B34" i="27"/>
  <c r="X33" i="27"/>
  <c r="T33" i="27"/>
  <c r="P33" i="27"/>
  <c r="H33" i="27"/>
  <c r="D33" i="27"/>
  <c r="L33" i="27" s="1"/>
  <c r="N33" i="27" s="1"/>
  <c r="B33" i="27"/>
  <c r="Z32" i="27"/>
  <c r="T32" i="27"/>
  <c r="P32" i="27"/>
  <c r="X32" i="27" s="1"/>
  <c r="L32" i="27"/>
  <c r="H32" i="27"/>
  <c r="N32" i="27" s="1"/>
  <c r="D32" i="27"/>
  <c r="B32" i="27"/>
  <c r="T31" i="27"/>
  <c r="P31" i="27"/>
  <c r="H31" i="27"/>
  <c r="D31" i="27"/>
  <c r="L31" i="27" s="1"/>
  <c r="N31" i="27" s="1"/>
  <c r="B31" i="27"/>
  <c r="X30" i="27"/>
  <c r="Z30" i="27" s="1"/>
  <c r="T30" i="27"/>
  <c r="P30" i="27"/>
  <c r="H30" i="27"/>
  <c r="D30" i="27"/>
  <c r="B30" i="27"/>
  <c r="T29" i="27"/>
  <c r="P29" i="27"/>
  <c r="X29" i="27" s="1"/>
  <c r="Z29" i="27" s="1"/>
  <c r="L29" i="27"/>
  <c r="H29" i="27"/>
  <c r="D29" i="27"/>
  <c r="B29" i="27"/>
  <c r="X28" i="27"/>
  <c r="T28" i="27"/>
  <c r="Z28" i="27" s="1"/>
  <c r="P28" i="27"/>
  <c r="N28" i="27"/>
  <c r="H28" i="27"/>
  <c r="D28" i="27"/>
  <c r="L28" i="27" s="1"/>
  <c r="B28" i="27"/>
  <c r="T27" i="27"/>
  <c r="P27" i="27"/>
  <c r="X27" i="27" s="1"/>
  <c r="Z27" i="27" s="1"/>
  <c r="H27" i="27"/>
  <c r="D27" i="27"/>
  <c r="B27" i="27"/>
  <c r="T26" i="27"/>
  <c r="P26" i="27"/>
  <c r="L26" i="27"/>
  <c r="N26" i="27" s="1"/>
  <c r="H26" i="27"/>
  <c r="D26" i="27"/>
  <c r="B26" i="27"/>
  <c r="X25" i="27"/>
  <c r="T25" i="27"/>
  <c r="P25" i="27"/>
  <c r="H25" i="27"/>
  <c r="D25" i="27"/>
  <c r="L25" i="27" s="1"/>
  <c r="N25" i="27" s="1"/>
  <c r="B25" i="27"/>
  <c r="T24" i="27"/>
  <c r="P24" i="27"/>
  <c r="X24" i="27" s="1"/>
  <c r="Z24" i="27" s="1"/>
  <c r="L24" i="27"/>
  <c r="H24" i="27"/>
  <c r="N24" i="27" s="1"/>
  <c r="D24" i="27"/>
  <c r="B24" i="27"/>
  <c r="T23" i="27"/>
  <c r="P23" i="27"/>
  <c r="H23" i="27"/>
  <c r="D23" i="27"/>
  <c r="L23" i="27" s="1"/>
  <c r="N23" i="27" s="1"/>
  <c r="B23" i="27"/>
  <c r="X22" i="27"/>
  <c r="Z22" i="27" s="1"/>
  <c r="T22" i="27"/>
  <c r="P22" i="27"/>
  <c r="H22" i="27"/>
  <c r="D22" i="27"/>
  <c r="B22" i="27"/>
  <c r="T21" i="27"/>
  <c r="P21" i="27"/>
  <c r="X21" i="27" s="1"/>
  <c r="Z21" i="27" s="1"/>
  <c r="L21" i="27"/>
  <c r="H21" i="27"/>
  <c r="D21" i="27"/>
  <c r="B21" i="27"/>
  <c r="X20" i="27"/>
  <c r="T20" i="27"/>
  <c r="Z20" i="27" s="1"/>
  <c r="P20" i="27"/>
  <c r="N20" i="27"/>
  <c r="H20" i="27"/>
  <c r="D20" i="27"/>
  <c r="L20" i="27" s="1"/>
  <c r="B20" i="27"/>
  <c r="T19" i="27"/>
  <c r="P19" i="27"/>
  <c r="X19" i="27" s="1"/>
  <c r="Z19" i="27" s="1"/>
  <c r="H19" i="27"/>
  <c r="D19" i="27"/>
  <c r="B19" i="27"/>
  <c r="T18" i="27"/>
  <c r="P18" i="27"/>
  <c r="L18" i="27"/>
  <c r="N18" i="27" s="1"/>
  <c r="H18" i="27"/>
  <c r="D18" i="27"/>
  <c r="B18" i="27"/>
  <c r="X17" i="27"/>
  <c r="Z17" i="27" s="1"/>
  <c r="T17" i="27"/>
  <c r="P17" i="27"/>
  <c r="H17" i="27"/>
  <c r="D17" i="27"/>
  <c r="L17" i="27" s="1"/>
  <c r="N17" i="27" s="1"/>
  <c r="B17" i="27"/>
  <c r="T16" i="27"/>
  <c r="P16" i="27"/>
  <c r="X16" i="27" s="1"/>
  <c r="Z16" i="27" s="1"/>
  <c r="L16" i="27"/>
  <c r="H16" i="27"/>
  <c r="N16" i="27" s="1"/>
  <c r="D16" i="27"/>
  <c r="B16" i="27"/>
  <c r="T15" i="27"/>
  <c r="P15" i="27"/>
  <c r="H15" i="27"/>
  <c r="D15" i="27"/>
  <c r="B15" i="27"/>
  <c r="X14" i="27"/>
  <c r="Z14" i="27" s="1"/>
  <c r="T14" i="27"/>
  <c r="P14" i="27"/>
  <c r="H14" i="27"/>
  <c r="D14" i="27"/>
  <c r="B14" i="27"/>
  <c r="T13" i="27"/>
  <c r="T12" i="27" s="1"/>
  <c r="P13" i="27"/>
  <c r="X13" i="27" s="1"/>
  <c r="Z13" i="27" s="1"/>
  <c r="L13" i="27"/>
  <c r="N13" i="27" s="1"/>
  <c r="H13" i="27"/>
  <c r="D13" i="27"/>
  <c r="B13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P13" i="26"/>
  <c r="H13" i="26"/>
  <c r="N13" i="26" s="1"/>
  <c r="D13" i="26"/>
  <c r="B13" i="26"/>
  <c r="T12" i="26"/>
  <c r="V36" i="26" s="1"/>
  <c r="P12" i="26"/>
  <c r="R21" i="26" s="1"/>
  <c r="H12" i="26"/>
  <c r="J20" i="26" s="1"/>
  <c r="D12" i="26"/>
  <c r="D5" i="26"/>
  <c r="D4" i="26"/>
  <c r="B39" i="25"/>
  <c r="B38" i="25"/>
  <c r="T34" i="25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P15" i="25"/>
  <c r="H15" i="25"/>
  <c r="N15" i="25" s="1"/>
  <c r="D15" i="25"/>
  <c r="T13" i="25"/>
  <c r="P13" i="25"/>
  <c r="H13" i="25"/>
  <c r="N13" i="25" s="1"/>
  <c r="D13" i="25"/>
  <c r="B13" i="25"/>
  <c r="T12" i="25"/>
  <c r="V18" i="25" s="1"/>
  <c r="P12" i="25"/>
  <c r="R31" i="25" s="1"/>
  <c r="H12" i="25"/>
  <c r="J22" i="25" s="1"/>
  <c r="D12" i="25"/>
  <c r="F18" i="25" s="1"/>
  <c r="D5" i="25"/>
  <c r="D4" i="25"/>
  <c r="X88" i="24"/>
  <c r="Z88" i="24" s="1"/>
  <c r="N88" i="24"/>
  <c r="L88" i="24"/>
  <c r="Z84" i="24"/>
  <c r="T84" i="24"/>
  <c r="P84" i="24"/>
  <c r="X84" i="24" s="1"/>
  <c r="L84" i="24"/>
  <c r="H84" i="24"/>
  <c r="N84" i="24" s="1"/>
  <c r="D84" i="24"/>
  <c r="X82" i="24"/>
  <c r="Z82" i="24" s="1"/>
  <c r="N82" i="24"/>
  <c r="L82" i="24"/>
  <c r="B82" i="24"/>
  <c r="Z81" i="24"/>
  <c r="T81" i="24"/>
  <c r="P81" i="24"/>
  <c r="X81" i="24" s="1"/>
  <c r="H81" i="24"/>
  <c r="D81" i="24"/>
  <c r="L81" i="24" s="1"/>
  <c r="N81" i="24" s="1"/>
  <c r="B81" i="24"/>
  <c r="Z80" i="24"/>
  <c r="X80" i="24"/>
  <c r="L80" i="24"/>
  <c r="N80" i="24" s="1"/>
  <c r="B80" i="24"/>
  <c r="T79" i="24"/>
  <c r="P79" i="24"/>
  <c r="X79" i="24" s="1"/>
  <c r="Z79" i="24" s="1"/>
  <c r="L79" i="24"/>
  <c r="N79" i="24" s="1"/>
  <c r="H79" i="24"/>
  <c r="D79" i="24"/>
  <c r="B79" i="24"/>
  <c r="Z78" i="24"/>
  <c r="X78" i="24"/>
  <c r="L78" i="24"/>
  <c r="N78" i="24" s="1"/>
  <c r="B78" i="24"/>
  <c r="X77" i="24"/>
  <c r="Z77" i="24" s="1"/>
  <c r="N77" i="24"/>
  <c r="L77" i="24"/>
  <c r="B77" i="24"/>
  <c r="Z76" i="24"/>
  <c r="X76" i="24"/>
  <c r="N76" i="24"/>
  <c r="L76" i="24"/>
  <c r="B76" i="24"/>
  <c r="Z75" i="24"/>
  <c r="X75" i="24"/>
  <c r="N75" i="24"/>
  <c r="L75" i="24"/>
  <c r="B75" i="24"/>
  <c r="X74" i="24"/>
  <c r="T74" i="24"/>
  <c r="P74" i="24"/>
  <c r="H74" i="24"/>
  <c r="D74" i="24"/>
  <c r="L74" i="24" s="1"/>
  <c r="B74" i="24"/>
  <c r="X73" i="24"/>
  <c r="Z73" i="24" s="1"/>
  <c r="N73" i="24"/>
  <c r="L73" i="24"/>
  <c r="B73" i="24"/>
  <c r="Z72" i="24"/>
  <c r="X72" i="24"/>
  <c r="N72" i="24"/>
  <c r="L72" i="24"/>
  <c r="B72" i="24"/>
  <c r="T71" i="24"/>
  <c r="P71" i="24"/>
  <c r="X71" i="24" s="1"/>
  <c r="Z71" i="24" s="1"/>
  <c r="N71" i="24"/>
  <c r="L71" i="24"/>
  <c r="H71" i="24"/>
  <c r="D71" i="24"/>
  <c r="B71" i="24"/>
  <c r="Z70" i="24"/>
  <c r="X70" i="24"/>
  <c r="N70" i="24"/>
  <c r="L70" i="24"/>
  <c r="B70" i="24"/>
  <c r="X69" i="24"/>
  <c r="Z69" i="24" s="1"/>
  <c r="N69" i="24"/>
  <c r="L69" i="24"/>
  <c r="B69" i="24"/>
  <c r="T68" i="24"/>
  <c r="P68" i="24"/>
  <c r="N68" i="24"/>
  <c r="H68" i="24"/>
  <c r="D68" i="24"/>
  <c r="L68" i="24" s="1"/>
  <c r="B68" i="24"/>
  <c r="Z67" i="24"/>
  <c r="X67" i="24"/>
  <c r="N67" i="24"/>
  <c r="L67" i="24"/>
  <c r="B67" i="24"/>
  <c r="Z66" i="24"/>
  <c r="T66" i="24"/>
  <c r="P66" i="24"/>
  <c r="X66" i="24" s="1"/>
  <c r="L66" i="24"/>
  <c r="H66" i="24"/>
  <c r="N66" i="24" s="1"/>
  <c r="D66" i="24"/>
  <c r="B66" i="24"/>
  <c r="Z65" i="24"/>
  <c r="X65" i="24"/>
  <c r="N65" i="24"/>
  <c r="L65" i="24"/>
  <c r="B65" i="24"/>
  <c r="X64" i="24"/>
  <c r="T64" i="24"/>
  <c r="Z64" i="24" s="1"/>
  <c r="P64" i="24"/>
  <c r="L64" i="24"/>
  <c r="H64" i="24"/>
  <c r="N64" i="24" s="1"/>
  <c r="D64" i="24"/>
  <c r="B64" i="24"/>
  <c r="Z63" i="24"/>
  <c r="X63" i="24"/>
  <c r="N63" i="24"/>
  <c r="L63" i="24"/>
  <c r="B63" i="24"/>
  <c r="Z62" i="24"/>
  <c r="X62" i="24"/>
  <c r="N62" i="24"/>
  <c r="L62" i="24"/>
  <c r="B62" i="24"/>
  <c r="Z61" i="24"/>
  <c r="T61" i="24"/>
  <c r="P61" i="24"/>
  <c r="X61" i="24" s="1"/>
  <c r="N61" i="24"/>
  <c r="H61" i="24"/>
  <c r="D61" i="24"/>
  <c r="L61" i="24" s="1"/>
  <c r="B61" i="24"/>
  <c r="Z60" i="24"/>
  <c r="X60" i="24"/>
  <c r="L60" i="24"/>
  <c r="N60" i="24" s="1"/>
  <c r="B60" i="24"/>
  <c r="Z59" i="24"/>
  <c r="X59" i="24"/>
  <c r="N59" i="24"/>
  <c r="L59" i="24"/>
  <c r="B59" i="24"/>
  <c r="X58" i="24"/>
  <c r="T58" i="24"/>
  <c r="Z58" i="24" s="1"/>
  <c r="P58" i="24"/>
  <c r="H58" i="24"/>
  <c r="D58" i="24"/>
  <c r="B58" i="24"/>
  <c r="X57" i="24"/>
  <c r="Z57" i="24" s="1"/>
  <c r="N57" i="24"/>
  <c r="L57" i="24"/>
  <c r="B57" i="24"/>
  <c r="T56" i="24"/>
  <c r="P56" i="24"/>
  <c r="N56" i="24"/>
  <c r="H56" i="24"/>
  <c r="D56" i="24"/>
  <c r="L56" i="24" s="1"/>
  <c r="B56" i="24"/>
  <c r="X55" i="24"/>
  <c r="Z55" i="24" s="1"/>
  <c r="N55" i="24"/>
  <c r="L55" i="24"/>
  <c r="B55" i="24"/>
  <c r="T54" i="24"/>
  <c r="P54" i="24"/>
  <c r="X54" i="24" s="1"/>
  <c r="Z54" i="24" s="1"/>
  <c r="L54" i="24"/>
  <c r="H54" i="24"/>
  <c r="N54" i="24" s="1"/>
  <c r="D54" i="24"/>
  <c r="B54" i="24"/>
  <c r="Z53" i="24"/>
  <c r="X53" i="24"/>
  <c r="N53" i="24"/>
  <c r="L53" i="24"/>
  <c r="B53" i="24"/>
  <c r="X52" i="24"/>
  <c r="Z52" i="24" s="1"/>
  <c r="N52" i="24"/>
  <c r="L52" i="24"/>
  <c r="B52" i="24"/>
  <c r="X51" i="24"/>
  <c r="Z51" i="24" s="1"/>
  <c r="N51" i="24"/>
  <c r="L51" i="24"/>
  <c r="B51" i="24"/>
  <c r="T50" i="24"/>
  <c r="P50" i="24"/>
  <c r="X50" i="24" s="1"/>
  <c r="Z50" i="24" s="1"/>
  <c r="L50" i="24"/>
  <c r="H50" i="24"/>
  <c r="N50" i="24" s="1"/>
  <c r="D50" i="24"/>
  <c r="B50" i="24"/>
  <c r="Z49" i="24"/>
  <c r="X49" i="24"/>
  <c r="L49" i="24"/>
  <c r="N49" i="24" s="1"/>
  <c r="B49" i="24"/>
  <c r="Z48" i="24"/>
  <c r="X48" i="24"/>
  <c r="N48" i="24"/>
  <c r="L48" i="24"/>
  <c r="B48" i="24"/>
  <c r="X47" i="24"/>
  <c r="Z47" i="24" s="1"/>
  <c r="L47" i="24"/>
  <c r="N47" i="24" s="1"/>
  <c r="B47" i="24"/>
  <c r="Z46" i="24"/>
  <c r="X46" i="24"/>
  <c r="L46" i="24"/>
  <c r="N46" i="24" s="1"/>
  <c r="B46" i="24"/>
  <c r="X45" i="24"/>
  <c r="Z45" i="24" s="1"/>
  <c r="T45" i="24"/>
  <c r="P45" i="24"/>
  <c r="L45" i="24"/>
  <c r="H45" i="24"/>
  <c r="N45" i="24" s="1"/>
  <c r="D45" i="24"/>
  <c r="B45" i="24"/>
  <c r="X44" i="24"/>
  <c r="T44" i="24"/>
  <c r="Z44" i="24" s="1"/>
  <c r="P44" i="24"/>
  <c r="L44" i="24"/>
  <c r="H44" i="24"/>
  <c r="D44" i="24"/>
  <c r="D42" i="24"/>
  <c r="X40" i="24"/>
  <c r="Z40" i="24" s="1"/>
  <c r="N40" i="24"/>
  <c r="L40" i="24"/>
  <c r="B40" i="24"/>
  <c r="Z39" i="24"/>
  <c r="X39" i="24"/>
  <c r="N39" i="24"/>
  <c r="L39" i="24"/>
  <c r="B39" i="24"/>
  <c r="Z38" i="24"/>
  <c r="X38" i="24"/>
  <c r="N38" i="24"/>
  <c r="L38" i="24"/>
  <c r="B38" i="24"/>
  <c r="X37" i="24"/>
  <c r="Z37" i="24" s="1"/>
  <c r="N37" i="24"/>
  <c r="L37" i="24"/>
  <c r="B37" i="24"/>
  <c r="Z36" i="24"/>
  <c r="X36" i="24"/>
  <c r="N36" i="24"/>
  <c r="L36" i="24"/>
  <c r="B36" i="24"/>
  <c r="Z35" i="24"/>
  <c r="X35" i="24"/>
  <c r="L35" i="24"/>
  <c r="N35" i="24" s="1"/>
  <c r="B35" i="24"/>
  <c r="X34" i="24"/>
  <c r="Z34" i="24" s="1"/>
  <c r="N34" i="24"/>
  <c r="L34" i="24"/>
  <c r="B34" i="24"/>
  <c r="Z33" i="24"/>
  <c r="X33" i="24"/>
  <c r="L33" i="24"/>
  <c r="N33" i="24" s="1"/>
  <c r="B33" i="24"/>
  <c r="X32" i="24"/>
  <c r="Z32" i="24" s="1"/>
  <c r="N32" i="24"/>
  <c r="L32" i="24"/>
  <c r="B32" i="24"/>
  <c r="Z31" i="24"/>
  <c r="X31" i="24"/>
  <c r="N31" i="24"/>
  <c r="L31" i="24"/>
  <c r="B31" i="24"/>
  <c r="T30" i="24"/>
  <c r="P30" i="24"/>
  <c r="X30" i="24" s="1"/>
  <c r="Z30" i="24" s="1"/>
  <c r="L30" i="24"/>
  <c r="H30" i="24"/>
  <c r="N30" i="24" s="1"/>
  <c r="D30" i="24"/>
  <c r="Z28" i="24"/>
  <c r="X28" i="24"/>
  <c r="T28" i="24"/>
  <c r="P28" i="24"/>
  <c r="N28" i="24"/>
  <c r="H28" i="24"/>
  <c r="L28" i="24" s="1"/>
  <c r="D28" i="24"/>
  <c r="B28" i="24"/>
  <c r="Z27" i="24"/>
  <c r="T27" i="24"/>
  <c r="P27" i="24"/>
  <c r="X27" i="24" s="1"/>
  <c r="N27" i="24"/>
  <c r="L27" i="24"/>
  <c r="H27" i="24"/>
  <c r="D27" i="24"/>
  <c r="B27" i="24"/>
  <c r="T26" i="24"/>
  <c r="P26" i="24"/>
  <c r="N26" i="24"/>
  <c r="H26" i="24"/>
  <c r="D26" i="24"/>
  <c r="L26" i="24" s="1"/>
  <c r="B26" i="24"/>
  <c r="Z25" i="24"/>
  <c r="X25" i="24"/>
  <c r="T25" i="24"/>
  <c r="P25" i="24"/>
  <c r="H25" i="24"/>
  <c r="D25" i="24"/>
  <c r="B25" i="24"/>
  <c r="Z24" i="24"/>
  <c r="T24" i="24"/>
  <c r="X24" i="24" s="1"/>
  <c r="P24" i="24"/>
  <c r="N24" i="24"/>
  <c r="L24" i="24"/>
  <c r="H24" i="24"/>
  <c r="D24" i="24"/>
  <c r="B24" i="24"/>
  <c r="Z23" i="24"/>
  <c r="X23" i="24"/>
  <c r="T23" i="24"/>
  <c r="P23" i="24"/>
  <c r="N23" i="24"/>
  <c r="H23" i="24"/>
  <c r="D23" i="24"/>
  <c r="L23" i="24" s="1"/>
  <c r="B23" i="24"/>
  <c r="T22" i="24"/>
  <c r="P22" i="24"/>
  <c r="X22" i="24" s="1"/>
  <c r="Z22" i="24" s="1"/>
  <c r="H22" i="24"/>
  <c r="D22" i="24"/>
  <c r="B22" i="24"/>
  <c r="T21" i="24"/>
  <c r="P21" i="24"/>
  <c r="N21" i="24"/>
  <c r="L21" i="24"/>
  <c r="H21" i="24"/>
  <c r="D21" i="24"/>
  <c r="B21" i="24"/>
  <c r="Z20" i="24"/>
  <c r="X20" i="24"/>
  <c r="T20" i="24"/>
  <c r="P20" i="24"/>
  <c r="N20" i="24"/>
  <c r="H20" i="24"/>
  <c r="L20" i="24" s="1"/>
  <c r="D20" i="24"/>
  <c r="B20" i="24"/>
  <c r="Z19" i="24"/>
  <c r="T19" i="24"/>
  <c r="P19" i="24"/>
  <c r="X19" i="24" s="1"/>
  <c r="N19" i="24"/>
  <c r="L19" i="24"/>
  <c r="H19" i="24"/>
  <c r="D19" i="24"/>
  <c r="B19" i="24"/>
  <c r="T18" i="24"/>
  <c r="P18" i="24"/>
  <c r="N18" i="24"/>
  <c r="H18" i="24"/>
  <c r="D18" i="24"/>
  <c r="L18" i="24" s="1"/>
  <c r="B18" i="24"/>
  <c r="X17" i="24"/>
  <c r="Z17" i="24" s="1"/>
  <c r="T17" i="24"/>
  <c r="P17" i="24"/>
  <c r="H17" i="24"/>
  <c r="D17" i="24"/>
  <c r="B17" i="24"/>
  <c r="T16" i="24"/>
  <c r="X16" i="24" s="1"/>
  <c r="Z16" i="24" s="1"/>
  <c r="P16" i="24"/>
  <c r="N16" i="24"/>
  <c r="L16" i="24"/>
  <c r="H16" i="24"/>
  <c r="D16" i="24"/>
  <c r="B16" i="24"/>
  <c r="X15" i="24"/>
  <c r="Z15" i="24" s="1"/>
  <c r="T15" i="24"/>
  <c r="P15" i="24"/>
  <c r="N15" i="24"/>
  <c r="H15" i="24"/>
  <c r="D15" i="24"/>
  <c r="L15" i="24" s="1"/>
  <c r="B15" i="24"/>
  <c r="T14" i="24"/>
  <c r="P14" i="24"/>
  <c r="H14" i="24"/>
  <c r="N14" i="24" s="1"/>
  <c r="D14" i="24"/>
  <c r="B14" i="24"/>
  <c r="T13" i="24"/>
  <c r="P13" i="24"/>
  <c r="L13" i="24"/>
  <c r="N13" i="24" s="1"/>
  <c r="H13" i="24"/>
  <c r="D13" i="24"/>
  <c r="D12" i="24" s="1"/>
  <c r="F71" i="24" s="1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P13" i="23"/>
  <c r="H13" i="23"/>
  <c r="N13" i="23" s="1"/>
  <c r="D13" i="23"/>
  <c r="B13" i="23"/>
  <c r="T12" i="23"/>
  <c r="V24" i="23" s="1"/>
  <c r="P12" i="23"/>
  <c r="R20" i="23" s="1"/>
  <c r="H12" i="23"/>
  <c r="J18" i="23" s="1"/>
  <c r="D12" i="23"/>
  <c r="F31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34" i="22" s="1"/>
  <c r="P12" i="22"/>
  <c r="R27" i="22" s="1"/>
  <c r="H12" i="22"/>
  <c r="J21" i="22" s="1"/>
  <c r="D12" i="22"/>
  <c r="F34" i="22" s="1"/>
  <c r="D5" i="22"/>
  <c r="D4" i="22"/>
  <c r="X84" i="21"/>
  <c r="Z84" i="21" s="1"/>
  <c r="N84" i="21"/>
  <c r="L84" i="21"/>
  <c r="Z80" i="21"/>
  <c r="T80" i="21"/>
  <c r="P80" i="21"/>
  <c r="X80" i="21" s="1"/>
  <c r="L80" i="21"/>
  <c r="H80" i="21"/>
  <c r="N80" i="21" s="1"/>
  <c r="D80" i="21"/>
  <c r="X78" i="21"/>
  <c r="Z78" i="21" s="1"/>
  <c r="N78" i="21"/>
  <c r="L78" i="21"/>
  <c r="B78" i="21"/>
  <c r="T77" i="21"/>
  <c r="P77" i="21"/>
  <c r="X77" i="21" s="1"/>
  <c r="Z77" i="21" s="1"/>
  <c r="H77" i="21"/>
  <c r="D77" i="21"/>
  <c r="L77" i="21" s="1"/>
  <c r="B77" i="21"/>
  <c r="Z76" i="21"/>
  <c r="X76" i="21"/>
  <c r="L76" i="21"/>
  <c r="N76" i="21" s="1"/>
  <c r="B76" i="21"/>
  <c r="T75" i="21"/>
  <c r="Z75" i="21" s="1"/>
  <c r="P75" i="21"/>
  <c r="X75" i="21" s="1"/>
  <c r="L75" i="21"/>
  <c r="H75" i="21"/>
  <c r="D75" i="21"/>
  <c r="B75" i="21"/>
  <c r="Z74" i="21"/>
  <c r="X74" i="21"/>
  <c r="L74" i="21"/>
  <c r="N74" i="21" s="1"/>
  <c r="B74" i="21"/>
  <c r="X73" i="21"/>
  <c r="Z73" i="21" s="1"/>
  <c r="N73" i="21"/>
  <c r="L73" i="21"/>
  <c r="B73" i="21"/>
  <c r="Z72" i="21"/>
  <c r="X72" i="21"/>
  <c r="N72" i="21"/>
  <c r="L72" i="21"/>
  <c r="B72" i="21"/>
  <c r="X71" i="21"/>
  <c r="Z71" i="21" s="1"/>
  <c r="N71" i="21"/>
  <c r="L71" i="21"/>
  <c r="B71" i="21"/>
  <c r="X70" i="21"/>
  <c r="Z70" i="21" s="1"/>
  <c r="N70" i="21"/>
  <c r="L70" i="21"/>
  <c r="B70" i="21"/>
  <c r="Z69" i="21"/>
  <c r="T69" i="21"/>
  <c r="P69" i="21"/>
  <c r="X69" i="21" s="1"/>
  <c r="H69" i="21"/>
  <c r="D69" i="21"/>
  <c r="L69" i="21" s="1"/>
  <c r="N69" i="21" s="1"/>
  <c r="B69" i="21"/>
  <c r="Z68" i="21"/>
  <c r="X68" i="21"/>
  <c r="N68" i="21"/>
  <c r="L68" i="21"/>
  <c r="B68" i="21"/>
  <c r="X67" i="21"/>
  <c r="Z67" i="21" s="1"/>
  <c r="N67" i="21"/>
  <c r="L67" i="21"/>
  <c r="B67" i="21"/>
  <c r="X66" i="21"/>
  <c r="Z66" i="21" s="1"/>
  <c r="N66" i="21"/>
  <c r="L66" i="21"/>
  <c r="B66" i="21"/>
  <c r="Z65" i="21"/>
  <c r="T65" i="21"/>
  <c r="P65" i="21"/>
  <c r="X65" i="21" s="1"/>
  <c r="H65" i="21"/>
  <c r="D65" i="21"/>
  <c r="L65" i="21" s="1"/>
  <c r="N65" i="21" s="1"/>
  <c r="B65" i="21"/>
  <c r="Z64" i="21"/>
  <c r="X64" i="21"/>
  <c r="L64" i="21"/>
  <c r="N64" i="21" s="1"/>
  <c r="B64" i="21"/>
  <c r="T63" i="21"/>
  <c r="Z63" i="21" s="1"/>
  <c r="P63" i="21"/>
  <c r="X63" i="21" s="1"/>
  <c r="L63" i="21"/>
  <c r="H63" i="21"/>
  <c r="D63" i="21"/>
  <c r="B63" i="21"/>
  <c r="Z62" i="21"/>
  <c r="X62" i="21"/>
  <c r="L62" i="21"/>
  <c r="N62" i="21" s="1"/>
  <c r="B62" i="21"/>
  <c r="X61" i="21"/>
  <c r="Z61" i="21" s="1"/>
  <c r="N61" i="21"/>
  <c r="L61" i="21"/>
  <c r="B61" i="21"/>
  <c r="T60" i="21"/>
  <c r="P60" i="21"/>
  <c r="X60" i="21" s="1"/>
  <c r="Z60" i="21" s="1"/>
  <c r="H60" i="21"/>
  <c r="D60" i="21"/>
  <c r="L60" i="21" s="1"/>
  <c r="N60" i="21" s="1"/>
  <c r="B60" i="21"/>
  <c r="Z59" i="21"/>
  <c r="X59" i="21"/>
  <c r="L59" i="21"/>
  <c r="N59" i="21" s="1"/>
  <c r="B59" i="21"/>
  <c r="T58" i="21"/>
  <c r="P58" i="21"/>
  <c r="X58" i="21" s="1"/>
  <c r="Z58" i="21" s="1"/>
  <c r="L58" i="21"/>
  <c r="H58" i="21"/>
  <c r="N58" i="21" s="1"/>
  <c r="D58" i="21"/>
  <c r="B58" i="21"/>
  <c r="Z57" i="21"/>
  <c r="X57" i="21"/>
  <c r="L57" i="21"/>
  <c r="N57" i="21" s="1"/>
  <c r="B57" i="21"/>
  <c r="X56" i="21"/>
  <c r="T56" i="21"/>
  <c r="Z56" i="21" s="1"/>
  <c r="P56" i="21"/>
  <c r="L56" i="21"/>
  <c r="H56" i="21"/>
  <c r="N56" i="21" s="1"/>
  <c r="D56" i="21"/>
  <c r="B56" i="21"/>
  <c r="X55" i="21"/>
  <c r="Z55" i="21" s="1"/>
  <c r="N55" i="21"/>
  <c r="L55" i="21"/>
  <c r="B55" i="21"/>
  <c r="X54" i="21"/>
  <c r="T54" i="21"/>
  <c r="P54" i="21"/>
  <c r="N54" i="21"/>
  <c r="H54" i="21"/>
  <c r="D54" i="21"/>
  <c r="B54" i="21"/>
  <c r="X53" i="21"/>
  <c r="Z53" i="21" s="1"/>
  <c r="N53" i="21"/>
  <c r="L53" i="21"/>
  <c r="B53" i="21"/>
  <c r="T52" i="21"/>
  <c r="P52" i="21"/>
  <c r="H52" i="21"/>
  <c r="D52" i="21"/>
  <c r="L52" i="21" s="1"/>
  <c r="N52" i="21" s="1"/>
  <c r="B52" i="21"/>
  <c r="Z51" i="21"/>
  <c r="X51" i="21"/>
  <c r="L51" i="21"/>
  <c r="N51" i="21" s="1"/>
  <c r="B51" i="21"/>
  <c r="X50" i="21"/>
  <c r="Z50" i="21" s="1"/>
  <c r="L50" i="21"/>
  <c r="N50" i="21" s="1"/>
  <c r="B50" i="21"/>
  <c r="X49" i="21"/>
  <c r="Z49" i="21" s="1"/>
  <c r="T49" i="21"/>
  <c r="P49" i="21"/>
  <c r="H49" i="21"/>
  <c r="D49" i="21"/>
  <c r="B49" i="21"/>
  <c r="X48" i="21"/>
  <c r="Z48" i="21" s="1"/>
  <c r="N48" i="21"/>
  <c r="L48" i="21"/>
  <c r="B48" i="21"/>
  <c r="T47" i="21"/>
  <c r="P47" i="21"/>
  <c r="H47" i="21"/>
  <c r="D47" i="21"/>
  <c r="L47" i="21" s="1"/>
  <c r="N47" i="21" s="1"/>
  <c r="B47" i="21"/>
  <c r="X46" i="21"/>
  <c r="Z46" i="21" s="1"/>
  <c r="N46" i="21"/>
  <c r="L46" i="21"/>
  <c r="B46" i="21"/>
  <c r="Z45" i="21"/>
  <c r="T45" i="21"/>
  <c r="P45" i="21"/>
  <c r="X45" i="21" s="1"/>
  <c r="H45" i="21"/>
  <c r="N45" i="21" s="1"/>
  <c r="D45" i="21"/>
  <c r="L45" i="21" s="1"/>
  <c r="B45" i="21"/>
  <c r="Z44" i="21"/>
  <c r="X44" i="21"/>
  <c r="N44" i="21"/>
  <c r="L44" i="21"/>
  <c r="B44" i="21"/>
  <c r="T43" i="21"/>
  <c r="Z43" i="21" s="1"/>
  <c r="P43" i="21"/>
  <c r="X43" i="21" s="1"/>
  <c r="N43" i="21"/>
  <c r="L43" i="21"/>
  <c r="H43" i="21"/>
  <c r="D43" i="21"/>
  <c r="B43" i="21"/>
  <c r="Z42" i="21"/>
  <c r="X42" i="21"/>
  <c r="L42" i="21"/>
  <c r="N42" i="21" s="1"/>
  <c r="B42" i="21"/>
  <c r="X41" i="21"/>
  <c r="Z41" i="21" s="1"/>
  <c r="N41" i="21"/>
  <c r="L41" i="21"/>
  <c r="B41" i="21"/>
  <c r="Z40" i="21"/>
  <c r="X40" i="21"/>
  <c r="L40" i="21"/>
  <c r="N40" i="21" s="1"/>
  <c r="B40" i="21"/>
  <c r="T39" i="21"/>
  <c r="P39" i="21"/>
  <c r="X39" i="21" s="1"/>
  <c r="L39" i="21"/>
  <c r="N39" i="21" s="1"/>
  <c r="H39" i="21"/>
  <c r="D39" i="21"/>
  <c r="B39" i="21"/>
  <c r="Z38" i="21"/>
  <c r="X38" i="21"/>
  <c r="L38" i="21"/>
  <c r="N38" i="21" s="1"/>
  <c r="B38" i="21"/>
  <c r="X37" i="21"/>
  <c r="Z37" i="21" s="1"/>
  <c r="N37" i="21"/>
  <c r="L37" i="21"/>
  <c r="B37" i="21"/>
  <c r="Z36" i="21"/>
  <c r="X36" i="21"/>
  <c r="L36" i="21"/>
  <c r="N36" i="21" s="1"/>
  <c r="B36" i="21"/>
  <c r="X35" i="21"/>
  <c r="Z35" i="21" s="1"/>
  <c r="N35" i="21"/>
  <c r="L35" i="21"/>
  <c r="B35" i="21"/>
  <c r="X34" i="21"/>
  <c r="Z34" i="21" s="1"/>
  <c r="N34" i="21"/>
  <c r="L34" i="21"/>
  <c r="B34" i="21"/>
  <c r="Z33" i="21"/>
  <c r="X33" i="21"/>
  <c r="L33" i="21"/>
  <c r="N33" i="21" s="1"/>
  <c r="B33" i="21"/>
  <c r="X32" i="21"/>
  <c r="Z32" i="21" s="1"/>
  <c r="N32" i="21"/>
  <c r="L32" i="21"/>
  <c r="B32" i="21"/>
  <c r="Z31" i="21"/>
  <c r="X31" i="21"/>
  <c r="L31" i="21"/>
  <c r="N31" i="21" s="1"/>
  <c r="B31" i="21"/>
  <c r="T30" i="21"/>
  <c r="P30" i="21"/>
  <c r="X30" i="21" s="1"/>
  <c r="Z30" i="21" s="1"/>
  <c r="L30" i="21"/>
  <c r="H30" i="21"/>
  <c r="N30" i="21" s="1"/>
  <c r="D30" i="21"/>
  <c r="B30" i="21"/>
  <c r="T29" i="21"/>
  <c r="P29" i="21"/>
  <c r="H29" i="21"/>
  <c r="N29" i="21" s="1"/>
  <c r="D29" i="21"/>
  <c r="L29" i="21" s="1"/>
  <c r="H27" i="21"/>
  <c r="Z25" i="21"/>
  <c r="X25" i="21"/>
  <c r="L25" i="21"/>
  <c r="N25" i="21" s="1"/>
  <c r="B25" i="21"/>
  <c r="X24" i="21"/>
  <c r="Z24" i="21" s="1"/>
  <c r="N24" i="21"/>
  <c r="L24" i="21"/>
  <c r="B24" i="21"/>
  <c r="T23" i="21"/>
  <c r="X23" i="21" s="1"/>
  <c r="Z23" i="21" s="1"/>
  <c r="P23" i="21"/>
  <c r="H23" i="21"/>
  <c r="D23" i="21"/>
  <c r="L23" i="21" s="1"/>
  <c r="T21" i="21"/>
  <c r="P21" i="21"/>
  <c r="H21" i="21"/>
  <c r="N21" i="21" s="1"/>
  <c r="D21" i="21"/>
  <c r="L21" i="21" s="1"/>
  <c r="B21" i="21"/>
  <c r="Z20" i="21"/>
  <c r="X20" i="21"/>
  <c r="T20" i="21"/>
  <c r="P20" i="21"/>
  <c r="H20" i="21"/>
  <c r="N20" i="21" s="1"/>
  <c r="D20" i="21"/>
  <c r="B20" i="21"/>
  <c r="Z19" i="21"/>
  <c r="T19" i="21"/>
  <c r="P19" i="21"/>
  <c r="X19" i="21" s="1"/>
  <c r="N19" i="21"/>
  <c r="H19" i="21"/>
  <c r="D19" i="21"/>
  <c r="L19" i="21" s="1"/>
  <c r="B19" i="21"/>
  <c r="T18" i="21"/>
  <c r="Z18" i="21" s="1"/>
  <c r="P18" i="21"/>
  <c r="X18" i="21" s="1"/>
  <c r="N18" i="21"/>
  <c r="H18" i="21"/>
  <c r="D18" i="21"/>
  <c r="L18" i="21" s="1"/>
  <c r="B18" i="21"/>
  <c r="T17" i="21"/>
  <c r="Z17" i="21" s="1"/>
  <c r="P17" i="21"/>
  <c r="X17" i="21" s="1"/>
  <c r="H17" i="21"/>
  <c r="N17" i="21" s="1"/>
  <c r="D17" i="21"/>
  <c r="L17" i="21" s="1"/>
  <c r="B17" i="21"/>
  <c r="T16" i="21"/>
  <c r="Z16" i="21" s="1"/>
  <c r="P16" i="21"/>
  <c r="H16" i="21"/>
  <c r="N16" i="21" s="1"/>
  <c r="D16" i="21"/>
  <c r="B16" i="21"/>
  <c r="Z15" i="21"/>
  <c r="T15" i="21"/>
  <c r="P15" i="21"/>
  <c r="X15" i="21" s="1"/>
  <c r="L15" i="21"/>
  <c r="H15" i="21"/>
  <c r="N15" i="21" s="1"/>
  <c r="D15" i="21"/>
  <c r="B15" i="21"/>
  <c r="T14" i="21"/>
  <c r="Z14" i="21" s="1"/>
  <c r="P14" i="21"/>
  <c r="X14" i="21" s="1"/>
  <c r="L14" i="21"/>
  <c r="H14" i="21"/>
  <c r="N14" i="21" s="1"/>
  <c r="D14" i="21"/>
  <c r="B14" i="21"/>
  <c r="T13" i="21"/>
  <c r="Z13" i="21" s="1"/>
  <c r="P13" i="21"/>
  <c r="N13" i="21"/>
  <c r="L13" i="21"/>
  <c r="H13" i="21"/>
  <c r="H12" i="21" s="1"/>
  <c r="J29" i="21" s="1"/>
  <c r="D13" i="21"/>
  <c r="B13" i="21"/>
  <c r="P12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4" i="20" s="1"/>
  <c r="P12" i="20"/>
  <c r="H12" i="20"/>
  <c r="J18" i="20" s="1"/>
  <c r="D12" i="20"/>
  <c r="F34" i="20" s="1"/>
  <c r="D5" i="20"/>
  <c r="D4" i="20"/>
  <c r="B39" i="19"/>
  <c r="B38" i="19"/>
  <c r="T34" i="19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P21" i="19"/>
  <c r="H21" i="19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P12" i="19"/>
  <c r="R18" i="19" s="1"/>
  <c r="H12" i="19"/>
  <c r="J20" i="19" s="1"/>
  <c r="D12" i="19"/>
  <c r="F22" i="19" s="1"/>
  <c r="D5" i="19"/>
  <c r="D4" i="19"/>
  <c r="Z240" i="18"/>
  <c r="X240" i="18"/>
  <c r="L240" i="18"/>
  <c r="N240" i="18" s="1"/>
  <c r="X236" i="18"/>
  <c r="Z236" i="18" s="1"/>
  <c r="T236" i="18"/>
  <c r="P236" i="18"/>
  <c r="H236" i="18"/>
  <c r="N236" i="18" s="1"/>
  <c r="D236" i="18"/>
  <c r="B236" i="18"/>
  <c r="T235" i="18"/>
  <c r="P235" i="18"/>
  <c r="X235" i="18" s="1"/>
  <c r="Z235" i="18" s="1"/>
  <c r="L235" i="18"/>
  <c r="H235" i="18"/>
  <c r="D235" i="18"/>
  <c r="B235" i="18"/>
  <c r="T234" i="18"/>
  <c r="P234" i="18"/>
  <c r="X234" i="18" s="1"/>
  <c r="Z234" i="18" s="1"/>
  <c r="N234" i="18"/>
  <c r="L234" i="18"/>
  <c r="H234" i="18"/>
  <c r="D234" i="18"/>
  <c r="B234" i="18"/>
  <c r="T233" i="18"/>
  <c r="Z233" i="18" s="1"/>
  <c r="P233" i="18"/>
  <c r="X233" i="18" s="1"/>
  <c r="H233" i="18"/>
  <c r="D233" i="18"/>
  <c r="L233" i="18" s="1"/>
  <c r="N233" i="18" s="1"/>
  <c r="B233" i="18"/>
  <c r="Z232" i="18"/>
  <c r="T232" i="18"/>
  <c r="P232" i="18"/>
  <c r="X232" i="18" s="1"/>
  <c r="N232" i="18"/>
  <c r="H232" i="18"/>
  <c r="L232" i="18" s="1"/>
  <c r="D232" i="18"/>
  <c r="B232" i="18"/>
  <c r="T231" i="18"/>
  <c r="P231" i="18"/>
  <c r="P230" i="18" s="1"/>
  <c r="H231" i="18"/>
  <c r="D231" i="18"/>
  <c r="B231" i="18"/>
  <c r="Z228" i="18"/>
  <c r="X228" i="18"/>
  <c r="N228" i="18"/>
  <c r="L228" i="18"/>
  <c r="B228" i="18"/>
  <c r="X227" i="18"/>
  <c r="T227" i="18"/>
  <c r="Z227" i="18" s="1"/>
  <c r="P227" i="18"/>
  <c r="H227" i="18"/>
  <c r="D227" i="18"/>
  <c r="B227" i="18"/>
  <c r="X226" i="18"/>
  <c r="Z226" i="18" s="1"/>
  <c r="N226" i="18"/>
  <c r="L226" i="18"/>
  <c r="B226" i="18"/>
  <c r="Z225" i="18"/>
  <c r="X225" i="18"/>
  <c r="N225" i="18"/>
  <c r="L225" i="18"/>
  <c r="B225" i="18"/>
  <c r="Z224" i="18"/>
  <c r="X224" i="18"/>
  <c r="N224" i="18"/>
  <c r="L224" i="18"/>
  <c r="B224" i="18"/>
  <c r="X223" i="18"/>
  <c r="T223" i="18"/>
  <c r="P223" i="18"/>
  <c r="H223" i="18"/>
  <c r="D223" i="18"/>
  <c r="B223" i="18"/>
  <c r="X222" i="18"/>
  <c r="Z222" i="18" s="1"/>
  <c r="N222" i="18"/>
  <c r="L222" i="18"/>
  <c r="B222" i="18"/>
  <c r="T221" i="18"/>
  <c r="P221" i="18"/>
  <c r="H221" i="18"/>
  <c r="N221" i="18" s="1"/>
  <c r="D221" i="18"/>
  <c r="L221" i="18" s="1"/>
  <c r="B221" i="18"/>
  <c r="Z220" i="18"/>
  <c r="X220" i="18"/>
  <c r="N220" i="18"/>
  <c r="L220" i="18"/>
  <c r="B220" i="18"/>
  <c r="X219" i="18"/>
  <c r="Z219" i="18" s="1"/>
  <c r="N219" i="18"/>
  <c r="L219" i="18"/>
  <c r="B219" i="18"/>
  <c r="X218" i="18"/>
  <c r="Z218" i="18" s="1"/>
  <c r="T218" i="18"/>
  <c r="P218" i="18"/>
  <c r="H218" i="18"/>
  <c r="D218" i="18"/>
  <c r="B218" i="18"/>
  <c r="Z217" i="18"/>
  <c r="X217" i="18"/>
  <c r="N217" i="18"/>
  <c r="L217" i="18"/>
  <c r="B217" i="18"/>
  <c r="Z216" i="18"/>
  <c r="X216" i="18"/>
  <c r="N216" i="18"/>
  <c r="L216" i="18"/>
  <c r="B216" i="18"/>
  <c r="X215" i="18"/>
  <c r="Z215" i="18" s="1"/>
  <c r="L215" i="18"/>
  <c r="N215" i="18" s="1"/>
  <c r="B215" i="18"/>
  <c r="X214" i="18"/>
  <c r="Z214" i="18" s="1"/>
  <c r="N214" i="18"/>
  <c r="L214" i="18"/>
  <c r="B214" i="18"/>
  <c r="Z213" i="18"/>
  <c r="X213" i="18"/>
  <c r="N213" i="18"/>
  <c r="L213" i="18"/>
  <c r="B213" i="18"/>
  <c r="Z212" i="18"/>
  <c r="X212" i="18"/>
  <c r="N212" i="18"/>
  <c r="L212" i="18"/>
  <c r="B212" i="18"/>
  <c r="X211" i="18"/>
  <c r="Z211" i="18" s="1"/>
  <c r="L211" i="18"/>
  <c r="N211" i="18" s="1"/>
  <c r="B211" i="18"/>
  <c r="T210" i="18"/>
  <c r="P210" i="18"/>
  <c r="X210" i="18" s="1"/>
  <c r="Z210" i="18" s="1"/>
  <c r="H210" i="18"/>
  <c r="D210" i="18"/>
  <c r="L210" i="18" s="1"/>
  <c r="N210" i="18" s="1"/>
  <c r="B210" i="18"/>
  <c r="Z209" i="18"/>
  <c r="X209" i="18"/>
  <c r="N209" i="18"/>
  <c r="L209" i="18"/>
  <c r="B209" i="18"/>
  <c r="Z208" i="18"/>
  <c r="X208" i="18"/>
  <c r="N208" i="18"/>
  <c r="L208" i="18"/>
  <c r="B208" i="18"/>
  <c r="X207" i="18"/>
  <c r="T207" i="18"/>
  <c r="Z207" i="18" s="1"/>
  <c r="P207" i="18"/>
  <c r="H207" i="18"/>
  <c r="D207" i="18"/>
  <c r="B207" i="18"/>
  <c r="X206" i="18"/>
  <c r="Z206" i="18" s="1"/>
  <c r="N206" i="18"/>
  <c r="L206" i="18"/>
  <c r="B206" i="18"/>
  <c r="Z205" i="18"/>
  <c r="X205" i="18"/>
  <c r="N205" i="18"/>
  <c r="L205" i="18"/>
  <c r="B205" i="18"/>
  <c r="Z204" i="18"/>
  <c r="X204" i="18"/>
  <c r="N204" i="18"/>
  <c r="L204" i="18"/>
  <c r="B204" i="18"/>
  <c r="X203" i="18"/>
  <c r="Z203" i="18" s="1"/>
  <c r="L203" i="18"/>
  <c r="N203" i="18" s="1"/>
  <c r="B203" i="18"/>
  <c r="Z202" i="18"/>
  <c r="T202" i="18"/>
  <c r="P202" i="18"/>
  <c r="X202" i="18" s="1"/>
  <c r="H202" i="18"/>
  <c r="D202" i="18"/>
  <c r="L202" i="18" s="1"/>
  <c r="N202" i="18" s="1"/>
  <c r="B202" i="18"/>
  <c r="Z201" i="18"/>
  <c r="X201" i="18"/>
  <c r="N201" i="18"/>
  <c r="L201" i="18"/>
  <c r="B201" i="18"/>
  <c r="Z200" i="18"/>
  <c r="X200" i="18"/>
  <c r="N200" i="18"/>
  <c r="L200" i="18"/>
  <c r="B200" i="18"/>
  <c r="X199" i="18"/>
  <c r="Z199" i="18" s="1"/>
  <c r="L199" i="18"/>
  <c r="N199" i="18" s="1"/>
  <c r="B199" i="18"/>
  <c r="Z198" i="18"/>
  <c r="T198" i="18"/>
  <c r="P198" i="18"/>
  <c r="X198" i="18" s="1"/>
  <c r="H198" i="18"/>
  <c r="D198" i="18"/>
  <c r="L198" i="18" s="1"/>
  <c r="N198" i="18" s="1"/>
  <c r="B198" i="18"/>
  <c r="Z197" i="18"/>
  <c r="X197" i="18"/>
  <c r="N197" i="18"/>
  <c r="L197" i="18"/>
  <c r="B197" i="18"/>
  <c r="Z196" i="18"/>
  <c r="X196" i="18"/>
  <c r="N196" i="18"/>
  <c r="L196" i="18"/>
  <c r="B196" i="18"/>
  <c r="Z195" i="18"/>
  <c r="X195" i="18"/>
  <c r="L195" i="18"/>
  <c r="N195" i="18" s="1"/>
  <c r="B195" i="18"/>
  <c r="Z194" i="18"/>
  <c r="X194" i="18"/>
  <c r="L194" i="18"/>
  <c r="N194" i="18" s="1"/>
  <c r="B194" i="18"/>
  <c r="T193" i="18"/>
  <c r="P193" i="18"/>
  <c r="X193" i="18" s="1"/>
  <c r="Z193" i="18" s="1"/>
  <c r="L193" i="18"/>
  <c r="H193" i="18"/>
  <c r="D193" i="18"/>
  <c r="B193" i="18"/>
  <c r="Z192" i="18"/>
  <c r="X192" i="18"/>
  <c r="N192" i="18"/>
  <c r="L192" i="18"/>
  <c r="B192" i="18"/>
  <c r="X191" i="18"/>
  <c r="T191" i="18"/>
  <c r="Z191" i="18" s="1"/>
  <c r="P191" i="18"/>
  <c r="H191" i="18"/>
  <c r="D191" i="18"/>
  <c r="B191" i="18"/>
  <c r="Z190" i="18"/>
  <c r="X190" i="18"/>
  <c r="N190" i="18"/>
  <c r="L190" i="18"/>
  <c r="B190" i="18"/>
  <c r="T189" i="18"/>
  <c r="P189" i="18"/>
  <c r="H189" i="18"/>
  <c r="N189" i="18" s="1"/>
  <c r="D189" i="18"/>
  <c r="L189" i="18" s="1"/>
  <c r="B189" i="18"/>
  <c r="Z188" i="18"/>
  <c r="X188" i="18"/>
  <c r="N188" i="18"/>
  <c r="L188" i="18"/>
  <c r="B188" i="18"/>
  <c r="X187" i="18"/>
  <c r="Z187" i="18" s="1"/>
  <c r="L187" i="18"/>
  <c r="N187" i="18" s="1"/>
  <c r="B187" i="18"/>
  <c r="X186" i="18"/>
  <c r="Z186" i="18" s="1"/>
  <c r="T186" i="18"/>
  <c r="P186" i="18"/>
  <c r="H186" i="18"/>
  <c r="D186" i="18"/>
  <c r="B186" i="18"/>
  <c r="Z185" i="18"/>
  <c r="X185" i="18"/>
  <c r="N185" i="18"/>
  <c r="L185" i="18"/>
  <c r="B185" i="18"/>
  <c r="T184" i="18"/>
  <c r="P184" i="18"/>
  <c r="N184" i="18"/>
  <c r="H184" i="18"/>
  <c r="D184" i="18"/>
  <c r="L184" i="18" s="1"/>
  <c r="B184" i="18"/>
  <c r="X183" i="18"/>
  <c r="Z183" i="18" s="1"/>
  <c r="L183" i="18"/>
  <c r="N183" i="18" s="1"/>
  <c r="B183" i="18"/>
  <c r="T182" i="18"/>
  <c r="P182" i="18"/>
  <c r="X182" i="18" s="1"/>
  <c r="Z182" i="18" s="1"/>
  <c r="H182" i="18"/>
  <c r="D182" i="18"/>
  <c r="L182" i="18" s="1"/>
  <c r="N182" i="18" s="1"/>
  <c r="B182" i="18"/>
  <c r="Z181" i="18"/>
  <c r="X181" i="18"/>
  <c r="N181" i="18"/>
  <c r="L181" i="18"/>
  <c r="B181" i="18"/>
  <c r="Z180" i="18"/>
  <c r="X180" i="18"/>
  <c r="N180" i="18"/>
  <c r="L180" i="18"/>
  <c r="B180" i="18"/>
  <c r="X179" i="18"/>
  <c r="T179" i="18"/>
  <c r="Z179" i="18" s="1"/>
  <c r="P179" i="18"/>
  <c r="H179" i="18"/>
  <c r="D179" i="18"/>
  <c r="B179" i="18"/>
  <c r="X178" i="18"/>
  <c r="Z178" i="18" s="1"/>
  <c r="N178" i="18"/>
  <c r="L178" i="18"/>
  <c r="B178" i="18"/>
  <c r="T177" i="18"/>
  <c r="P177" i="18"/>
  <c r="H177" i="18"/>
  <c r="N177" i="18" s="1"/>
  <c r="D177" i="18"/>
  <c r="L177" i="18" s="1"/>
  <c r="B177" i="18"/>
  <c r="Z176" i="18"/>
  <c r="X176" i="18"/>
  <c r="N176" i="18"/>
  <c r="L176" i="18"/>
  <c r="B176" i="18"/>
  <c r="T175" i="18"/>
  <c r="P175" i="18"/>
  <c r="X175" i="18" s="1"/>
  <c r="N175" i="18"/>
  <c r="H175" i="18"/>
  <c r="D175" i="18"/>
  <c r="L175" i="18" s="1"/>
  <c r="B175" i="18"/>
  <c r="Z174" i="18"/>
  <c r="X174" i="18"/>
  <c r="N174" i="18"/>
  <c r="L174" i="18"/>
  <c r="B174" i="18"/>
  <c r="Z173" i="18"/>
  <c r="T173" i="18"/>
  <c r="P173" i="18"/>
  <c r="X173" i="18" s="1"/>
  <c r="L173" i="18"/>
  <c r="H173" i="18"/>
  <c r="N173" i="18" s="1"/>
  <c r="D173" i="18"/>
  <c r="B173" i="18"/>
  <c r="Z172" i="18"/>
  <c r="X172" i="18"/>
  <c r="N172" i="18"/>
  <c r="L172" i="18"/>
  <c r="B172" i="18"/>
  <c r="Z171" i="18"/>
  <c r="X171" i="18"/>
  <c r="L171" i="18"/>
  <c r="N171" i="18" s="1"/>
  <c r="B171" i="18"/>
  <c r="Z170" i="18"/>
  <c r="T170" i="18"/>
  <c r="P170" i="18"/>
  <c r="X170" i="18" s="1"/>
  <c r="H170" i="18"/>
  <c r="L170" i="18" s="1"/>
  <c r="N170" i="18" s="1"/>
  <c r="D170" i="18"/>
  <c r="B170" i="18"/>
  <c r="Z169" i="18"/>
  <c r="X169" i="18"/>
  <c r="N169" i="18"/>
  <c r="L169" i="18"/>
  <c r="B169" i="18"/>
  <c r="Z168" i="18"/>
  <c r="X168" i="18"/>
  <c r="N168" i="18"/>
  <c r="L168" i="18"/>
  <c r="B168" i="18"/>
  <c r="X167" i="18"/>
  <c r="T167" i="18"/>
  <c r="P167" i="18"/>
  <c r="H167" i="18"/>
  <c r="D167" i="18"/>
  <c r="B167" i="18"/>
  <c r="X166" i="18"/>
  <c r="Z166" i="18" s="1"/>
  <c r="N166" i="18"/>
  <c r="L166" i="18"/>
  <c r="B166" i="18"/>
  <c r="T165" i="18"/>
  <c r="P165" i="18"/>
  <c r="H165" i="18"/>
  <c r="D165" i="18"/>
  <c r="L165" i="18" s="1"/>
  <c r="B165" i="18"/>
  <c r="Z164" i="18"/>
  <c r="X164" i="18"/>
  <c r="N164" i="18"/>
  <c r="L164" i="18"/>
  <c r="B164" i="18"/>
  <c r="T163" i="18"/>
  <c r="Z163" i="18" s="1"/>
  <c r="P163" i="18"/>
  <c r="X163" i="18" s="1"/>
  <c r="H163" i="18"/>
  <c r="N163" i="18" s="1"/>
  <c r="D163" i="18"/>
  <c r="L163" i="18" s="1"/>
  <c r="B163" i="18"/>
  <c r="Z162" i="18"/>
  <c r="X162" i="18"/>
  <c r="L162" i="18"/>
  <c r="N162" i="18" s="1"/>
  <c r="B162" i="18"/>
  <c r="T161" i="18"/>
  <c r="Z161" i="18" s="1"/>
  <c r="P161" i="18"/>
  <c r="X161" i="18" s="1"/>
  <c r="L161" i="18"/>
  <c r="H161" i="18"/>
  <c r="D161" i="18"/>
  <c r="B161" i="18"/>
  <c r="Z160" i="18"/>
  <c r="X160" i="18"/>
  <c r="N160" i="18"/>
  <c r="L160" i="18"/>
  <c r="B160" i="18"/>
  <c r="X159" i="18"/>
  <c r="Z159" i="18" s="1"/>
  <c r="L159" i="18"/>
  <c r="N159" i="18" s="1"/>
  <c r="B159" i="18"/>
  <c r="Z158" i="18"/>
  <c r="X158" i="18"/>
  <c r="L158" i="18"/>
  <c r="N158" i="18" s="1"/>
  <c r="B158" i="18"/>
  <c r="X157" i="18"/>
  <c r="Z157" i="18" s="1"/>
  <c r="L157" i="18"/>
  <c r="N157" i="18" s="1"/>
  <c r="B157" i="18"/>
  <c r="Z156" i="18"/>
  <c r="X156" i="18"/>
  <c r="N156" i="18"/>
  <c r="L156" i="18"/>
  <c r="B156" i="18"/>
  <c r="X155" i="18"/>
  <c r="Z155" i="18" s="1"/>
  <c r="L155" i="18"/>
  <c r="N155" i="18" s="1"/>
  <c r="B155" i="18"/>
  <c r="X154" i="18"/>
  <c r="Z154" i="18" s="1"/>
  <c r="N154" i="18"/>
  <c r="L154" i="18"/>
  <c r="B154" i="18"/>
  <c r="T153" i="18"/>
  <c r="P153" i="18"/>
  <c r="H153" i="18"/>
  <c r="D153" i="18"/>
  <c r="L153" i="18" s="1"/>
  <c r="B153" i="18"/>
  <c r="Z152" i="18"/>
  <c r="X152" i="18"/>
  <c r="N152" i="18"/>
  <c r="L152" i="18"/>
  <c r="B152" i="18"/>
  <c r="X151" i="18"/>
  <c r="Z151" i="18" s="1"/>
  <c r="L151" i="18"/>
  <c r="N151" i="18" s="1"/>
  <c r="B151" i="18"/>
  <c r="X150" i="18"/>
  <c r="Z150" i="18" s="1"/>
  <c r="N150" i="18"/>
  <c r="L150" i="18"/>
  <c r="B150" i="18"/>
  <c r="X149" i="18"/>
  <c r="Z149" i="18" s="1"/>
  <c r="L149" i="18"/>
  <c r="N149" i="18" s="1"/>
  <c r="B149" i="18"/>
  <c r="Z148" i="18"/>
  <c r="X148" i="18"/>
  <c r="N148" i="18"/>
  <c r="L148" i="18"/>
  <c r="B148" i="18"/>
  <c r="X147" i="18"/>
  <c r="Z147" i="18" s="1"/>
  <c r="L147" i="18"/>
  <c r="N147" i="18" s="1"/>
  <c r="B147" i="18"/>
  <c r="Z146" i="18"/>
  <c r="X146" i="18"/>
  <c r="L146" i="18"/>
  <c r="N146" i="18" s="1"/>
  <c r="B146" i="18"/>
  <c r="X145" i="18"/>
  <c r="Z145" i="18" s="1"/>
  <c r="L145" i="18"/>
  <c r="N145" i="18" s="1"/>
  <c r="B145" i="18"/>
  <c r="Z144" i="18"/>
  <c r="X144" i="18"/>
  <c r="N144" i="18"/>
  <c r="L144" i="18"/>
  <c r="B144" i="18"/>
  <c r="X143" i="18"/>
  <c r="Z143" i="18" s="1"/>
  <c r="L143" i="18"/>
  <c r="N143" i="18" s="1"/>
  <c r="B143" i="18"/>
  <c r="X142" i="18"/>
  <c r="Z142" i="18" s="1"/>
  <c r="T142" i="18"/>
  <c r="P142" i="18"/>
  <c r="H142" i="18"/>
  <c r="D142" i="18"/>
  <c r="B142" i="18"/>
  <c r="T141" i="18"/>
  <c r="P141" i="18"/>
  <c r="X141" i="18" s="1"/>
  <c r="L141" i="18"/>
  <c r="H141" i="18"/>
  <c r="D141" i="18"/>
  <c r="Z137" i="18"/>
  <c r="X137" i="18"/>
  <c r="N137" i="18"/>
  <c r="L137" i="18"/>
  <c r="B137" i="18"/>
  <c r="Z136" i="18"/>
  <c r="X136" i="18"/>
  <c r="N136" i="18"/>
  <c r="L136" i="18"/>
  <c r="B136" i="18"/>
  <c r="X135" i="18"/>
  <c r="Z135" i="18" s="1"/>
  <c r="L135" i="18"/>
  <c r="N135" i="18" s="1"/>
  <c r="B135" i="18"/>
  <c r="Z134" i="18"/>
  <c r="X134" i="18"/>
  <c r="N134" i="18"/>
  <c r="L134" i="18"/>
  <c r="B134" i="18"/>
  <c r="X133" i="18"/>
  <c r="Z133" i="18" s="1"/>
  <c r="L133" i="18"/>
  <c r="N133" i="18" s="1"/>
  <c r="B133" i="18"/>
  <c r="Z132" i="18"/>
  <c r="X132" i="18"/>
  <c r="N132" i="18"/>
  <c r="L132" i="18"/>
  <c r="B132" i="18"/>
  <c r="X131" i="18"/>
  <c r="Z131" i="18" s="1"/>
  <c r="L131" i="18"/>
  <c r="N131" i="18" s="1"/>
  <c r="B131" i="18"/>
  <c r="Z130" i="18"/>
  <c r="X130" i="18"/>
  <c r="N130" i="18"/>
  <c r="L130" i="18"/>
  <c r="B130" i="18"/>
  <c r="X129" i="18"/>
  <c r="Z129" i="18" s="1"/>
  <c r="L129" i="18"/>
  <c r="N129" i="18" s="1"/>
  <c r="B129" i="18"/>
  <c r="Z128" i="18"/>
  <c r="X128" i="18"/>
  <c r="N128" i="18"/>
  <c r="L128" i="18"/>
  <c r="B128" i="18"/>
  <c r="X127" i="18"/>
  <c r="Z127" i="18" s="1"/>
  <c r="L127" i="18"/>
  <c r="N127" i="18" s="1"/>
  <c r="B127" i="18"/>
  <c r="Z126" i="18"/>
  <c r="X126" i="18"/>
  <c r="N126" i="18"/>
  <c r="L126" i="18"/>
  <c r="B126" i="18"/>
  <c r="X125" i="18"/>
  <c r="Z125" i="18" s="1"/>
  <c r="L125" i="18"/>
  <c r="N125" i="18" s="1"/>
  <c r="B125" i="18"/>
  <c r="Z124" i="18"/>
  <c r="X124" i="18"/>
  <c r="N124" i="18"/>
  <c r="L124" i="18"/>
  <c r="B124" i="18"/>
  <c r="X123" i="18"/>
  <c r="Z123" i="18" s="1"/>
  <c r="L123" i="18"/>
  <c r="N123" i="18" s="1"/>
  <c r="B123" i="18"/>
  <c r="Z122" i="18"/>
  <c r="X122" i="18"/>
  <c r="N122" i="18"/>
  <c r="L122" i="18"/>
  <c r="B122" i="18"/>
  <c r="X121" i="18"/>
  <c r="Z121" i="18" s="1"/>
  <c r="L121" i="18"/>
  <c r="N121" i="18" s="1"/>
  <c r="B121" i="18"/>
  <c r="Z120" i="18"/>
  <c r="X120" i="18"/>
  <c r="N120" i="18"/>
  <c r="L120" i="18"/>
  <c r="B120" i="18"/>
  <c r="X119" i="18"/>
  <c r="Z119" i="18" s="1"/>
  <c r="L119" i="18"/>
  <c r="N119" i="18" s="1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X115" i="18"/>
  <c r="Z115" i="18" s="1"/>
  <c r="L115" i="18"/>
  <c r="N115" i="18" s="1"/>
  <c r="B115" i="18"/>
  <c r="Z114" i="18"/>
  <c r="X114" i="18"/>
  <c r="N114" i="18"/>
  <c r="L114" i="18"/>
  <c r="B114" i="18"/>
  <c r="X113" i="18"/>
  <c r="Z113" i="18" s="1"/>
  <c r="L113" i="18"/>
  <c r="N113" i="18" s="1"/>
  <c r="B113" i="18"/>
  <c r="Z112" i="18"/>
  <c r="X112" i="18"/>
  <c r="N112" i="18"/>
  <c r="L112" i="18"/>
  <c r="B112" i="18"/>
  <c r="X111" i="18"/>
  <c r="Z111" i="18" s="1"/>
  <c r="L111" i="18"/>
  <c r="N111" i="18" s="1"/>
  <c r="B111" i="18"/>
  <c r="Z110" i="18"/>
  <c r="X110" i="18"/>
  <c r="N110" i="18"/>
  <c r="L110" i="18"/>
  <c r="B110" i="18"/>
  <c r="X109" i="18"/>
  <c r="Z109" i="18" s="1"/>
  <c r="L109" i="18"/>
  <c r="N109" i="18" s="1"/>
  <c r="B109" i="18"/>
  <c r="Z108" i="18"/>
  <c r="X108" i="18"/>
  <c r="N108" i="18"/>
  <c r="L108" i="18"/>
  <c r="B108" i="18"/>
  <c r="X107" i="18"/>
  <c r="Z107" i="18" s="1"/>
  <c r="L107" i="18"/>
  <c r="N107" i="18" s="1"/>
  <c r="B107" i="18"/>
  <c r="Z106" i="18"/>
  <c r="X106" i="18"/>
  <c r="N106" i="18"/>
  <c r="L106" i="18"/>
  <c r="B106" i="18"/>
  <c r="X105" i="18"/>
  <c r="Z105" i="18" s="1"/>
  <c r="L105" i="18"/>
  <c r="N105" i="18" s="1"/>
  <c r="B105" i="18"/>
  <c r="Z104" i="18"/>
  <c r="X104" i="18"/>
  <c r="N104" i="18"/>
  <c r="L104" i="18"/>
  <c r="B104" i="18"/>
  <c r="X103" i="18"/>
  <c r="Z103" i="18" s="1"/>
  <c r="L103" i="18"/>
  <c r="N103" i="18" s="1"/>
  <c r="B103" i="18"/>
  <c r="Z102" i="18"/>
  <c r="X102" i="18"/>
  <c r="N102" i="18"/>
  <c r="L102" i="18"/>
  <c r="B102" i="18"/>
  <c r="X101" i="18"/>
  <c r="Z101" i="18" s="1"/>
  <c r="L101" i="18"/>
  <c r="N101" i="18" s="1"/>
  <c r="B101" i="18"/>
  <c r="Z100" i="18"/>
  <c r="X100" i="18"/>
  <c r="N100" i="18"/>
  <c r="L100" i="18"/>
  <c r="B100" i="18"/>
  <c r="X99" i="18"/>
  <c r="Z99" i="18" s="1"/>
  <c r="L99" i="18"/>
  <c r="N99" i="18" s="1"/>
  <c r="B99" i="18"/>
  <c r="Z98" i="18"/>
  <c r="X98" i="18"/>
  <c r="N98" i="18"/>
  <c r="L98" i="18"/>
  <c r="B98" i="18"/>
  <c r="X97" i="18"/>
  <c r="Z97" i="18" s="1"/>
  <c r="L97" i="18"/>
  <c r="N97" i="18" s="1"/>
  <c r="B97" i="18"/>
  <c r="Z96" i="18"/>
  <c r="X96" i="18"/>
  <c r="N96" i="18"/>
  <c r="L96" i="18"/>
  <c r="B96" i="18"/>
  <c r="X95" i="18"/>
  <c r="Z95" i="18" s="1"/>
  <c r="L95" i="18"/>
  <c r="N95" i="18" s="1"/>
  <c r="B95" i="18"/>
  <c r="Z94" i="18"/>
  <c r="X94" i="18"/>
  <c r="N94" i="18"/>
  <c r="L94" i="18"/>
  <c r="B94" i="18"/>
  <c r="Z93" i="18"/>
  <c r="X93" i="18"/>
  <c r="N93" i="18"/>
  <c r="L93" i="18"/>
  <c r="B93" i="18"/>
  <c r="T92" i="18"/>
  <c r="P92" i="18"/>
  <c r="X92" i="18" s="1"/>
  <c r="Z92" i="18" s="1"/>
  <c r="N92" i="18"/>
  <c r="L92" i="18"/>
  <c r="H92" i="18"/>
  <c r="D92" i="18"/>
  <c r="Z90" i="18"/>
  <c r="T90" i="18"/>
  <c r="P90" i="18"/>
  <c r="X90" i="18" s="1"/>
  <c r="H90" i="18"/>
  <c r="N90" i="18" s="1"/>
  <c r="D90" i="18"/>
  <c r="B90" i="18"/>
  <c r="T89" i="18"/>
  <c r="Z89" i="18" s="1"/>
  <c r="P89" i="18"/>
  <c r="X89" i="18" s="1"/>
  <c r="L89" i="18"/>
  <c r="H89" i="18"/>
  <c r="N89" i="18" s="1"/>
  <c r="D89" i="18"/>
  <c r="B89" i="18"/>
  <c r="T88" i="18"/>
  <c r="P88" i="18"/>
  <c r="N88" i="18"/>
  <c r="H88" i="18"/>
  <c r="L88" i="18" s="1"/>
  <c r="D88" i="18"/>
  <c r="B88" i="18"/>
  <c r="T87" i="18"/>
  <c r="P87" i="18"/>
  <c r="X87" i="18" s="1"/>
  <c r="Z87" i="18" s="1"/>
  <c r="N87" i="18"/>
  <c r="L87" i="18"/>
  <c r="H87" i="18"/>
  <c r="D87" i="18"/>
  <c r="B87" i="18"/>
  <c r="T86" i="18"/>
  <c r="P86" i="18"/>
  <c r="X86" i="18" s="1"/>
  <c r="H86" i="18"/>
  <c r="D86" i="18"/>
  <c r="L86" i="18" s="1"/>
  <c r="N86" i="18" s="1"/>
  <c r="B86" i="18"/>
  <c r="X85" i="18"/>
  <c r="T85" i="18"/>
  <c r="P85" i="18"/>
  <c r="H85" i="18"/>
  <c r="D85" i="18"/>
  <c r="L85" i="18" s="1"/>
  <c r="B85" i="18"/>
  <c r="T84" i="18"/>
  <c r="X84" i="18" s="1"/>
  <c r="Z84" i="18" s="1"/>
  <c r="P84" i="18"/>
  <c r="H84" i="18"/>
  <c r="D84" i="18"/>
  <c r="B84" i="18"/>
  <c r="X83" i="18"/>
  <c r="Z83" i="18" s="1"/>
  <c r="T83" i="18"/>
  <c r="P83" i="18"/>
  <c r="H83" i="18"/>
  <c r="D83" i="18"/>
  <c r="L83" i="18" s="1"/>
  <c r="N83" i="18" s="1"/>
  <c r="B83" i="18"/>
  <c r="Z82" i="18"/>
  <c r="T82" i="18"/>
  <c r="P82" i="18"/>
  <c r="X82" i="18" s="1"/>
  <c r="H82" i="18"/>
  <c r="N82" i="18" s="1"/>
  <c r="D82" i="18"/>
  <c r="B82" i="18"/>
  <c r="T81" i="18"/>
  <c r="Z81" i="18" s="1"/>
  <c r="P81" i="18"/>
  <c r="X81" i="18" s="1"/>
  <c r="L81" i="18"/>
  <c r="H81" i="18"/>
  <c r="N81" i="18" s="1"/>
  <c r="D81" i="18"/>
  <c r="B81" i="18"/>
  <c r="T80" i="18"/>
  <c r="P80" i="18"/>
  <c r="N80" i="18"/>
  <c r="H80" i="18"/>
  <c r="L80" i="18" s="1"/>
  <c r="D80" i="18"/>
  <c r="B80" i="18"/>
  <c r="T79" i="18"/>
  <c r="P79" i="18"/>
  <c r="X79" i="18" s="1"/>
  <c r="Z79" i="18" s="1"/>
  <c r="L79" i="18"/>
  <c r="N79" i="18" s="1"/>
  <c r="H79" i="18"/>
  <c r="D79" i="18"/>
  <c r="B79" i="18"/>
  <c r="T78" i="18"/>
  <c r="P78" i="18"/>
  <c r="X78" i="18" s="1"/>
  <c r="H78" i="18"/>
  <c r="D78" i="18"/>
  <c r="L78" i="18" s="1"/>
  <c r="N78" i="18" s="1"/>
  <c r="B78" i="18"/>
  <c r="X77" i="18"/>
  <c r="T77" i="18"/>
  <c r="P77" i="18"/>
  <c r="H77" i="18"/>
  <c r="D77" i="18"/>
  <c r="L77" i="18" s="1"/>
  <c r="B77" i="18"/>
  <c r="Z76" i="18"/>
  <c r="T76" i="18"/>
  <c r="X76" i="18" s="1"/>
  <c r="P76" i="18"/>
  <c r="H76" i="18"/>
  <c r="D76" i="18"/>
  <c r="B76" i="18"/>
  <c r="X75" i="18"/>
  <c r="Z75" i="18" s="1"/>
  <c r="T75" i="18"/>
  <c r="P75" i="18"/>
  <c r="N75" i="18"/>
  <c r="H75" i="18"/>
  <c r="D75" i="18"/>
  <c r="L75" i="18" s="1"/>
  <c r="B75" i="18"/>
  <c r="T74" i="18"/>
  <c r="P74" i="18"/>
  <c r="X74" i="18" s="1"/>
  <c r="Z74" i="18" s="1"/>
  <c r="H74" i="18"/>
  <c r="D74" i="18"/>
  <c r="L74" i="18" s="1"/>
  <c r="B74" i="18"/>
  <c r="T73" i="18"/>
  <c r="Z73" i="18" s="1"/>
  <c r="P73" i="18"/>
  <c r="X73" i="18" s="1"/>
  <c r="L73" i="18"/>
  <c r="H73" i="18"/>
  <c r="D73" i="18"/>
  <c r="B73" i="18"/>
  <c r="T72" i="18"/>
  <c r="P72" i="18"/>
  <c r="N72" i="18"/>
  <c r="H72" i="18"/>
  <c r="L72" i="18" s="1"/>
  <c r="D72" i="18"/>
  <c r="B72" i="18"/>
  <c r="T71" i="18"/>
  <c r="P71" i="18"/>
  <c r="X71" i="18" s="1"/>
  <c r="Z71" i="18" s="1"/>
  <c r="L71" i="18"/>
  <c r="N71" i="18" s="1"/>
  <c r="H71" i="18"/>
  <c r="D71" i="18"/>
  <c r="B71" i="18"/>
  <c r="T70" i="18"/>
  <c r="P70" i="18"/>
  <c r="N70" i="18"/>
  <c r="H70" i="18"/>
  <c r="D70" i="18"/>
  <c r="L70" i="18" s="1"/>
  <c r="B70" i="18"/>
  <c r="X69" i="18"/>
  <c r="T69" i="18"/>
  <c r="P69" i="18"/>
  <c r="H69" i="18"/>
  <c r="N69" i="18" s="1"/>
  <c r="D69" i="18"/>
  <c r="L69" i="18" s="1"/>
  <c r="B69" i="18"/>
  <c r="Z68" i="18"/>
  <c r="T68" i="18"/>
  <c r="X68" i="18" s="1"/>
  <c r="P68" i="18"/>
  <c r="H68" i="18"/>
  <c r="D68" i="18"/>
  <c r="B68" i="18"/>
  <c r="X67" i="18"/>
  <c r="Z67" i="18" s="1"/>
  <c r="T67" i="18"/>
  <c r="P67" i="18"/>
  <c r="H67" i="18"/>
  <c r="D67" i="18"/>
  <c r="L67" i="18" s="1"/>
  <c r="N67" i="18" s="1"/>
  <c r="B67" i="18"/>
  <c r="T66" i="18"/>
  <c r="P66" i="18"/>
  <c r="X66" i="18" s="1"/>
  <c r="Z66" i="18" s="1"/>
  <c r="H66" i="18"/>
  <c r="D66" i="18"/>
  <c r="L66" i="18" s="1"/>
  <c r="B66" i="18"/>
  <c r="T65" i="18"/>
  <c r="P65" i="18"/>
  <c r="X65" i="18" s="1"/>
  <c r="L65" i="18"/>
  <c r="H65" i="18"/>
  <c r="D65" i="18"/>
  <c r="B65" i="18"/>
  <c r="T64" i="18"/>
  <c r="Z64" i="18" s="1"/>
  <c r="P64" i="18"/>
  <c r="N64" i="18"/>
  <c r="H64" i="18"/>
  <c r="L64" i="18" s="1"/>
  <c r="D64" i="18"/>
  <c r="B64" i="18"/>
  <c r="T63" i="18"/>
  <c r="P63" i="18"/>
  <c r="X63" i="18" s="1"/>
  <c r="Z63" i="18" s="1"/>
  <c r="L63" i="18"/>
  <c r="N63" i="18" s="1"/>
  <c r="H63" i="18"/>
  <c r="D63" i="18"/>
  <c r="B63" i="18"/>
  <c r="T62" i="18"/>
  <c r="P62" i="18"/>
  <c r="H62" i="18"/>
  <c r="D62" i="18"/>
  <c r="L62" i="18" s="1"/>
  <c r="N62" i="18" s="1"/>
  <c r="B62" i="18"/>
  <c r="X61" i="18"/>
  <c r="T61" i="18"/>
  <c r="P61" i="18"/>
  <c r="H61" i="18"/>
  <c r="N61" i="18" s="1"/>
  <c r="D61" i="18"/>
  <c r="L61" i="18" s="1"/>
  <c r="B61" i="18"/>
  <c r="T60" i="18"/>
  <c r="X60" i="18" s="1"/>
  <c r="Z60" i="18" s="1"/>
  <c r="P60" i="18"/>
  <c r="H60" i="18"/>
  <c r="D60" i="18"/>
  <c r="B60" i="18"/>
  <c r="X59" i="18"/>
  <c r="Z59" i="18" s="1"/>
  <c r="T59" i="18"/>
  <c r="P59" i="18"/>
  <c r="H59" i="18"/>
  <c r="D59" i="18"/>
  <c r="L59" i="18" s="1"/>
  <c r="N59" i="18" s="1"/>
  <c r="B59" i="18"/>
  <c r="T58" i="18"/>
  <c r="P58" i="18"/>
  <c r="X58" i="18" s="1"/>
  <c r="Z58" i="18" s="1"/>
  <c r="H58" i="18"/>
  <c r="D58" i="18"/>
  <c r="B58" i="18"/>
  <c r="T57" i="18"/>
  <c r="P57" i="18"/>
  <c r="X57" i="18" s="1"/>
  <c r="L57" i="18"/>
  <c r="H57" i="18"/>
  <c r="N57" i="18" s="1"/>
  <c r="D57" i="18"/>
  <c r="B57" i="18"/>
  <c r="T56" i="18"/>
  <c r="P56" i="18"/>
  <c r="N56" i="18"/>
  <c r="H56" i="18"/>
  <c r="L56" i="18" s="1"/>
  <c r="D56" i="18"/>
  <c r="B56" i="18"/>
  <c r="T55" i="18"/>
  <c r="P55" i="18"/>
  <c r="X55" i="18" s="1"/>
  <c r="Z55" i="18" s="1"/>
  <c r="L55" i="18"/>
  <c r="N55" i="18" s="1"/>
  <c r="H55" i="18"/>
  <c r="D55" i="18"/>
  <c r="B55" i="18"/>
  <c r="T54" i="18"/>
  <c r="P54" i="18"/>
  <c r="X54" i="18" s="1"/>
  <c r="H54" i="18"/>
  <c r="D54" i="18"/>
  <c r="L54" i="18" s="1"/>
  <c r="N54" i="18" s="1"/>
  <c r="B54" i="18"/>
  <c r="X53" i="18"/>
  <c r="T53" i="18"/>
  <c r="Z53" i="18" s="1"/>
  <c r="P53" i="18"/>
  <c r="H53" i="18"/>
  <c r="D53" i="18"/>
  <c r="L53" i="18" s="1"/>
  <c r="B53" i="18"/>
  <c r="Z52" i="18"/>
  <c r="T52" i="18"/>
  <c r="X52" i="18" s="1"/>
  <c r="P52" i="18"/>
  <c r="H52" i="18"/>
  <c r="D52" i="18"/>
  <c r="B52" i="18"/>
  <c r="X51" i="18"/>
  <c r="Z51" i="18" s="1"/>
  <c r="T51" i="18"/>
  <c r="P51" i="18"/>
  <c r="H51" i="18"/>
  <c r="D51" i="18"/>
  <c r="L51" i="18" s="1"/>
  <c r="N51" i="18" s="1"/>
  <c r="B51" i="18"/>
  <c r="T50" i="18"/>
  <c r="P50" i="18"/>
  <c r="X50" i="18" s="1"/>
  <c r="Z50" i="18" s="1"/>
  <c r="H50" i="18"/>
  <c r="N50" i="18" s="1"/>
  <c r="D50" i="18"/>
  <c r="B50" i="18"/>
  <c r="T49" i="18"/>
  <c r="P49" i="18"/>
  <c r="X49" i="18" s="1"/>
  <c r="L49" i="18"/>
  <c r="H49" i="18"/>
  <c r="N49" i="18" s="1"/>
  <c r="D49" i="18"/>
  <c r="B49" i="18"/>
  <c r="T48" i="18"/>
  <c r="P48" i="18"/>
  <c r="N48" i="18"/>
  <c r="H48" i="18"/>
  <c r="L48" i="18" s="1"/>
  <c r="D48" i="18"/>
  <c r="B48" i="18"/>
  <c r="T47" i="18"/>
  <c r="P47" i="18"/>
  <c r="X47" i="18" s="1"/>
  <c r="Z47" i="18" s="1"/>
  <c r="N47" i="18"/>
  <c r="L47" i="18"/>
  <c r="H47" i="18"/>
  <c r="D47" i="18"/>
  <c r="B47" i="18"/>
  <c r="T46" i="18"/>
  <c r="P46" i="18"/>
  <c r="H46" i="18"/>
  <c r="D46" i="18"/>
  <c r="L46" i="18" s="1"/>
  <c r="N46" i="18" s="1"/>
  <c r="B46" i="18"/>
  <c r="X45" i="18"/>
  <c r="T45" i="18"/>
  <c r="P45" i="18"/>
  <c r="H45" i="18"/>
  <c r="N45" i="18" s="1"/>
  <c r="D45" i="18"/>
  <c r="L45" i="18" s="1"/>
  <c r="B45" i="18"/>
  <c r="Z44" i="18"/>
  <c r="T44" i="18"/>
  <c r="X44" i="18" s="1"/>
  <c r="P44" i="18"/>
  <c r="H44" i="18"/>
  <c r="N44" i="18" s="1"/>
  <c r="D44" i="18"/>
  <c r="B44" i="18"/>
  <c r="X43" i="18"/>
  <c r="Z43" i="18" s="1"/>
  <c r="T43" i="18"/>
  <c r="P43" i="18"/>
  <c r="H43" i="18"/>
  <c r="D43" i="18"/>
  <c r="L43" i="18" s="1"/>
  <c r="N43" i="18" s="1"/>
  <c r="B43" i="18"/>
  <c r="T42" i="18"/>
  <c r="P42" i="18"/>
  <c r="X42" i="18" s="1"/>
  <c r="Z42" i="18" s="1"/>
  <c r="H42" i="18"/>
  <c r="D42" i="18"/>
  <c r="L42" i="18" s="1"/>
  <c r="B42" i="18"/>
  <c r="T41" i="18"/>
  <c r="Z41" i="18" s="1"/>
  <c r="P41" i="18"/>
  <c r="X41" i="18" s="1"/>
  <c r="L41" i="18"/>
  <c r="H41" i="18"/>
  <c r="N41" i="18" s="1"/>
  <c r="D41" i="18"/>
  <c r="B41" i="18"/>
  <c r="T40" i="18"/>
  <c r="P40" i="18"/>
  <c r="N40" i="18"/>
  <c r="H40" i="18"/>
  <c r="L40" i="18" s="1"/>
  <c r="D40" i="18"/>
  <c r="B40" i="18"/>
  <c r="T39" i="18"/>
  <c r="P39" i="18"/>
  <c r="X39" i="18" s="1"/>
  <c r="Z39" i="18" s="1"/>
  <c r="L39" i="18"/>
  <c r="N39" i="18" s="1"/>
  <c r="H39" i="18"/>
  <c r="D39" i="18"/>
  <c r="B39" i="18"/>
  <c r="T38" i="18"/>
  <c r="P38" i="18"/>
  <c r="X38" i="18" s="1"/>
  <c r="H38" i="18"/>
  <c r="D38" i="18"/>
  <c r="L38" i="18" s="1"/>
  <c r="N38" i="18" s="1"/>
  <c r="B38" i="18"/>
  <c r="X37" i="18"/>
  <c r="T37" i="18"/>
  <c r="P37" i="18"/>
  <c r="H37" i="18"/>
  <c r="D37" i="18"/>
  <c r="L37" i="18" s="1"/>
  <c r="B37" i="18"/>
  <c r="T36" i="18"/>
  <c r="X36" i="18" s="1"/>
  <c r="Z36" i="18" s="1"/>
  <c r="P36" i="18"/>
  <c r="H36" i="18"/>
  <c r="D36" i="18"/>
  <c r="B36" i="18"/>
  <c r="X35" i="18"/>
  <c r="Z35" i="18" s="1"/>
  <c r="T35" i="18"/>
  <c r="P35" i="18"/>
  <c r="H35" i="18"/>
  <c r="D35" i="18"/>
  <c r="L35" i="18" s="1"/>
  <c r="N35" i="18" s="1"/>
  <c r="B35" i="18"/>
  <c r="T34" i="18"/>
  <c r="P34" i="18"/>
  <c r="X34" i="18" s="1"/>
  <c r="Z34" i="18" s="1"/>
  <c r="H34" i="18"/>
  <c r="D34" i="18"/>
  <c r="L34" i="18" s="1"/>
  <c r="B34" i="18"/>
  <c r="T33" i="18"/>
  <c r="Z33" i="18" s="1"/>
  <c r="P33" i="18"/>
  <c r="X33" i="18" s="1"/>
  <c r="L33" i="18"/>
  <c r="H33" i="18"/>
  <c r="D33" i="18"/>
  <c r="B33" i="18"/>
  <c r="T32" i="18"/>
  <c r="P32" i="18"/>
  <c r="N32" i="18"/>
  <c r="H32" i="18"/>
  <c r="L32" i="18" s="1"/>
  <c r="D32" i="18"/>
  <c r="B32" i="18"/>
  <c r="T31" i="18"/>
  <c r="P31" i="18"/>
  <c r="X31" i="18" s="1"/>
  <c r="Z31" i="18" s="1"/>
  <c r="L31" i="18"/>
  <c r="N31" i="18" s="1"/>
  <c r="H31" i="18"/>
  <c r="D31" i="18"/>
  <c r="B31" i="18"/>
  <c r="T30" i="18"/>
  <c r="P30" i="18"/>
  <c r="H30" i="18"/>
  <c r="D30" i="18"/>
  <c r="L30" i="18" s="1"/>
  <c r="N30" i="18" s="1"/>
  <c r="B30" i="18"/>
  <c r="X29" i="18"/>
  <c r="T29" i="18"/>
  <c r="Z29" i="18" s="1"/>
  <c r="P29" i="18"/>
  <c r="H29" i="18"/>
  <c r="N29" i="18" s="1"/>
  <c r="D29" i="18"/>
  <c r="L29" i="18" s="1"/>
  <c r="B29" i="18"/>
  <c r="T28" i="18"/>
  <c r="X28" i="18" s="1"/>
  <c r="Z28" i="18" s="1"/>
  <c r="P28" i="18"/>
  <c r="H28" i="18"/>
  <c r="D28" i="18"/>
  <c r="B28" i="18"/>
  <c r="X27" i="18"/>
  <c r="Z27" i="18" s="1"/>
  <c r="T27" i="18"/>
  <c r="P27" i="18"/>
  <c r="H27" i="18"/>
  <c r="D27" i="18"/>
  <c r="L27" i="18" s="1"/>
  <c r="N27" i="18" s="1"/>
  <c r="B27" i="18"/>
  <c r="T26" i="18"/>
  <c r="P26" i="18"/>
  <c r="X26" i="18" s="1"/>
  <c r="Z26" i="18" s="1"/>
  <c r="H26" i="18"/>
  <c r="D26" i="18"/>
  <c r="L26" i="18" s="1"/>
  <c r="B26" i="18"/>
  <c r="T25" i="18"/>
  <c r="Z25" i="18" s="1"/>
  <c r="P25" i="18"/>
  <c r="X25" i="18" s="1"/>
  <c r="L25" i="18"/>
  <c r="H25" i="18"/>
  <c r="N25" i="18" s="1"/>
  <c r="D25" i="18"/>
  <c r="B25" i="18"/>
  <c r="T24" i="18"/>
  <c r="P24" i="18"/>
  <c r="N24" i="18"/>
  <c r="H24" i="18"/>
  <c r="L24" i="18" s="1"/>
  <c r="D24" i="18"/>
  <c r="B24" i="18"/>
  <c r="T23" i="18"/>
  <c r="P23" i="18"/>
  <c r="X23" i="18" s="1"/>
  <c r="Z23" i="18" s="1"/>
  <c r="L23" i="18"/>
  <c r="N23" i="18" s="1"/>
  <c r="H23" i="18"/>
  <c r="D23" i="18"/>
  <c r="B23" i="18"/>
  <c r="T22" i="18"/>
  <c r="P22" i="18"/>
  <c r="H22" i="18"/>
  <c r="D22" i="18"/>
  <c r="L22" i="18" s="1"/>
  <c r="N22" i="18" s="1"/>
  <c r="B22" i="18"/>
  <c r="X21" i="18"/>
  <c r="T21" i="18"/>
  <c r="Z21" i="18" s="1"/>
  <c r="P21" i="18"/>
  <c r="H21" i="18"/>
  <c r="N21" i="18" s="1"/>
  <c r="D21" i="18"/>
  <c r="L21" i="18" s="1"/>
  <c r="B21" i="18"/>
  <c r="Z20" i="18"/>
  <c r="T20" i="18"/>
  <c r="X20" i="18" s="1"/>
  <c r="P20" i="18"/>
  <c r="H20" i="18"/>
  <c r="N20" i="18" s="1"/>
  <c r="D20" i="18"/>
  <c r="B20" i="18"/>
  <c r="X19" i="18"/>
  <c r="Z19" i="18" s="1"/>
  <c r="T19" i="18"/>
  <c r="P19" i="18"/>
  <c r="H19" i="18"/>
  <c r="D19" i="18"/>
  <c r="L19" i="18" s="1"/>
  <c r="N19" i="18" s="1"/>
  <c r="B19" i="18"/>
  <c r="T18" i="18"/>
  <c r="P18" i="18"/>
  <c r="X18" i="18" s="1"/>
  <c r="Z18" i="18" s="1"/>
  <c r="H18" i="18"/>
  <c r="D18" i="18"/>
  <c r="B18" i="18"/>
  <c r="T17" i="18"/>
  <c r="P17" i="18"/>
  <c r="X17" i="18" s="1"/>
  <c r="L17" i="18"/>
  <c r="H17" i="18"/>
  <c r="D17" i="18"/>
  <c r="B17" i="18"/>
  <c r="T16" i="18"/>
  <c r="P16" i="18"/>
  <c r="H16" i="18"/>
  <c r="D16" i="18"/>
  <c r="B16" i="18"/>
  <c r="T15" i="18"/>
  <c r="P15" i="18"/>
  <c r="X15" i="18" s="1"/>
  <c r="Z15" i="18" s="1"/>
  <c r="L15" i="18"/>
  <c r="N15" i="18" s="1"/>
  <c r="H15" i="18"/>
  <c r="D15" i="18"/>
  <c r="B15" i="18"/>
  <c r="T14" i="18"/>
  <c r="P14" i="18"/>
  <c r="H14" i="18"/>
  <c r="D14" i="18"/>
  <c r="L14" i="18" s="1"/>
  <c r="N14" i="18" s="1"/>
  <c r="B14" i="18"/>
  <c r="X13" i="18"/>
  <c r="T13" i="18"/>
  <c r="Z13" i="18" s="1"/>
  <c r="P13" i="18"/>
  <c r="H13" i="18"/>
  <c r="N13" i="18" s="1"/>
  <c r="D13" i="18"/>
  <c r="L13" i="18" s="1"/>
  <c r="B13" i="18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P20" i="17"/>
  <c r="H20" i="17"/>
  <c r="N20" i="17" s="1"/>
  <c r="D20" i="17"/>
  <c r="T16" i="17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P13" i="17"/>
  <c r="H13" i="17"/>
  <c r="N13" i="17" s="1"/>
  <c r="D13" i="17"/>
  <c r="B13" i="17"/>
  <c r="T12" i="17"/>
  <c r="V18" i="17" s="1"/>
  <c r="P12" i="17"/>
  <c r="R36" i="17" s="1"/>
  <c r="H12" i="17"/>
  <c r="D12" i="17"/>
  <c r="F36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P13" i="16"/>
  <c r="H13" i="16"/>
  <c r="N13" i="16" s="1"/>
  <c r="D13" i="16"/>
  <c r="B13" i="16"/>
  <c r="T12" i="16"/>
  <c r="V21" i="16" s="1"/>
  <c r="P12" i="16"/>
  <c r="R34" i="16" s="1"/>
  <c r="H12" i="16"/>
  <c r="J36" i="16" s="1"/>
  <c r="D12" i="16"/>
  <c r="D5" i="16"/>
  <c r="D4" i="16"/>
  <c r="X216" i="15"/>
  <c r="Z216" i="15" s="1"/>
  <c r="L216" i="15"/>
  <c r="N216" i="15" s="1"/>
  <c r="X212" i="15"/>
  <c r="T212" i="15"/>
  <c r="T208" i="15" s="1"/>
  <c r="P212" i="15"/>
  <c r="H212" i="15"/>
  <c r="N212" i="15" s="1"/>
  <c r="D212" i="15"/>
  <c r="L212" i="15" s="1"/>
  <c r="B212" i="15"/>
  <c r="T211" i="15"/>
  <c r="P211" i="15"/>
  <c r="X211" i="15" s="1"/>
  <c r="Z211" i="15" s="1"/>
  <c r="H211" i="15"/>
  <c r="L211" i="15" s="1"/>
  <c r="N211" i="15" s="1"/>
  <c r="D211" i="15"/>
  <c r="B211" i="15"/>
  <c r="X210" i="15"/>
  <c r="Z210" i="15" s="1"/>
  <c r="T210" i="15"/>
  <c r="P210" i="15"/>
  <c r="L210" i="15"/>
  <c r="H210" i="15"/>
  <c r="D210" i="15"/>
  <c r="B210" i="15"/>
  <c r="T209" i="15"/>
  <c r="P209" i="15"/>
  <c r="X209" i="15" s="1"/>
  <c r="Z209" i="15" s="1"/>
  <c r="L209" i="15"/>
  <c r="N209" i="15" s="1"/>
  <c r="H209" i="15"/>
  <c r="D209" i="15"/>
  <c r="B209" i="15"/>
  <c r="P208" i="15"/>
  <c r="X208" i="15" s="1"/>
  <c r="X206" i="15"/>
  <c r="Z206" i="15" s="1"/>
  <c r="L206" i="15"/>
  <c r="N206" i="15" s="1"/>
  <c r="B206" i="15"/>
  <c r="T205" i="15"/>
  <c r="P205" i="15"/>
  <c r="X205" i="15" s="1"/>
  <c r="Z205" i="15" s="1"/>
  <c r="H205" i="15"/>
  <c r="D205" i="15"/>
  <c r="L205" i="15" s="1"/>
  <c r="N205" i="15" s="1"/>
  <c r="B205" i="15"/>
  <c r="X204" i="15"/>
  <c r="Z204" i="15" s="1"/>
  <c r="N204" i="15"/>
  <c r="L204" i="15"/>
  <c r="B204" i="15"/>
  <c r="Z203" i="15"/>
  <c r="X203" i="15"/>
  <c r="N203" i="15"/>
  <c r="L203" i="15"/>
  <c r="B203" i="15"/>
  <c r="X202" i="15"/>
  <c r="Z202" i="15" s="1"/>
  <c r="N202" i="15"/>
  <c r="L202" i="15"/>
  <c r="B202" i="15"/>
  <c r="Z201" i="15"/>
  <c r="T201" i="15"/>
  <c r="P201" i="15"/>
  <c r="X201" i="15" s="1"/>
  <c r="H201" i="15"/>
  <c r="D201" i="15"/>
  <c r="L201" i="15" s="1"/>
  <c r="N201" i="15" s="1"/>
  <c r="B201" i="15"/>
  <c r="X200" i="15"/>
  <c r="Z200" i="15" s="1"/>
  <c r="L200" i="15"/>
  <c r="N200" i="15" s="1"/>
  <c r="B200" i="15"/>
  <c r="T199" i="15"/>
  <c r="P199" i="15"/>
  <c r="X199" i="15" s="1"/>
  <c r="Z199" i="15" s="1"/>
  <c r="L199" i="15"/>
  <c r="N199" i="15" s="1"/>
  <c r="H199" i="15"/>
  <c r="D199" i="15"/>
  <c r="B199" i="15"/>
  <c r="X198" i="15"/>
  <c r="Z198" i="15" s="1"/>
  <c r="L198" i="15"/>
  <c r="N198" i="15" s="1"/>
  <c r="B198" i="15"/>
  <c r="X197" i="15"/>
  <c r="Z197" i="15" s="1"/>
  <c r="N197" i="15"/>
  <c r="L197" i="15"/>
  <c r="B197" i="15"/>
  <c r="T196" i="15"/>
  <c r="P196" i="15"/>
  <c r="H196" i="15"/>
  <c r="D196" i="15"/>
  <c r="L196" i="15" s="1"/>
  <c r="B196" i="15"/>
  <c r="Z195" i="15"/>
  <c r="X195" i="15"/>
  <c r="N195" i="15"/>
  <c r="L195" i="15"/>
  <c r="B195" i="15"/>
  <c r="X194" i="15"/>
  <c r="Z194" i="15" s="1"/>
  <c r="L194" i="15"/>
  <c r="N194" i="15" s="1"/>
  <c r="B194" i="15"/>
  <c r="X193" i="15"/>
  <c r="Z193" i="15" s="1"/>
  <c r="N193" i="15"/>
  <c r="L193" i="15"/>
  <c r="B193" i="15"/>
  <c r="X192" i="15"/>
  <c r="Z192" i="15" s="1"/>
  <c r="L192" i="15"/>
  <c r="N192" i="15" s="1"/>
  <c r="B192" i="15"/>
  <c r="Z191" i="15"/>
  <c r="X191" i="15"/>
  <c r="N191" i="15"/>
  <c r="L191" i="15"/>
  <c r="B191" i="15"/>
  <c r="X190" i="15"/>
  <c r="Z190" i="15" s="1"/>
  <c r="L190" i="15"/>
  <c r="N190" i="15" s="1"/>
  <c r="B190" i="15"/>
  <c r="Z189" i="15"/>
  <c r="X189" i="15"/>
  <c r="L189" i="15"/>
  <c r="N189" i="15" s="1"/>
  <c r="B189" i="15"/>
  <c r="X188" i="15"/>
  <c r="T188" i="15"/>
  <c r="Z188" i="15" s="1"/>
  <c r="P188" i="15"/>
  <c r="L188" i="15"/>
  <c r="H188" i="15"/>
  <c r="D188" i="15"/>
  <c r="B188" i="15"/>
  <c r="Z187" i="15"/>
  <c r="X187" i="15"/>
  <c r="N187" i="15"/>
  <c r="L187" i="15"/>
  <c r="B187" i="15"/>
  <c r="X186" i="15"/>
  <c r="Z186" i="15" s="1"/>
  <c r="L186" i="15"/>
  <c r="N186" i="15" s="1"/>
  <c r="B186" i="15"/>
  <c r="T185" i="15"/>
  <c r="P185" i="15"/>
  <c r="X185" i="15" s="1"/>
  <c r="Z185" i="15" s="1"/>
  <c r="H185" i="15"/>
  <c r="D185" i="15"/>
  <c r="L185" i="15" s="1"/>
  <c r="N185" i="15" s="1"/>
  <c r="B185" i="15"/>
  <c r="X184" i="15"/>
  <c r="Z184" i="15" s="1"/>
  <c r="L184" i="15"/>
  <c r="N184" i="15" s="1"/>
  <c r="B184" i="15"/>
  <c r="Z183" i="15"/>
  <c r="X183" i="15"/>
  <c r="N183" i="15"/>
  <c r="L183" i="15"/>
  <c r="B183" i="15"/>
  <c r="X182" i="15"/>
  <c r="Z182" i="15" s="1"/>
  <c r="N182" i="15"/>
  <c r="L182" i="15"/>
  <c r="B182" i="15"/>
  <c r="Z181" i="15"/>
  <c r="X181" i="15"/>
  <c r="L181" i="15"/>
  <c r="N181" i="15" s="1"/>
  <c r="B181" i="15"/>
  <c r="X180" i="15"/>
  <c r="T180" i="15"/>
  <c r="Z180" i="15" s="1"/>
  <c r="P180" i="15"/>
  <c r="L180" i="15"/>
  <c r="H180" i="15"/>
  <c r="D180" i="15"/>
  <c r="B180" i="15"/>
  <c r="Z179" i="15"/>
  <c r="X179" i="15"/>
  <c r="N179" i="15"/>
  <c r="L179" i="15"/>
  <c r="B179" i="15"/>
  <c r="Z178" i="15"/>
  <c r="X178" i="15"/>
  <c r="N178" i="15"/>
  <c r="L178" i="15"/>
  <c r="B178" i="15"/>
  <c r="Z177" i="15"/>
  <c r="X177" i="15"/>
  <c r="L177" i="15"/>
  <c r="N177" i="15" s="1"/>
  <c r="B177" i="15"/>
  <c r="X176" i="15"/>
  <c r="T176" i="15"/>
  <c r="Z176" i="15" s="1"/>
  <c r="P176" i="15"/>
  <c r="L176" i="15"/>
  <c r="H176" i="15"/>
  <c r="D176" i="15"/>
  <c r="B176" i="15"/>
  <c r="Z175" i="15"/>
  <c r="X175" i="15"/>
  <c r="N175" i="15"/>
  <c r="L175" i="15"/>
  <c r="B175" i="15"/>
  <c r="X174" i="15"/>
  <c r="Z174" i="15" s="1"/>
  <c r="L174" i="15"/>
  <c r="N174" i="15" s="1"/>
  <c r="B174" i="15"/>
  <c r="Z173" i="15"/>
  <c r="X173" i="15"/>
  <c r="L173" i="15"/>
  <c r="N173" i="15" s="1"/>
  <c r="B173" i="15"/>
  <c r="X172" i="15"/>
  <c r="Z172" i="15" s="1"/>
  <c r="L172" i="15"/>
  <c r="N172" i="15" s="1"/>
  <c r="B172" i="15"/>
  <c r="T171" i="15"/>
  <c r="P171" i="15"/>
  <c r="X171" i="15" s="1"/>
  <c r="Z171" i="15" s="1"/>
  <c r="H171" i="15"/>
  <c r="D171" i="15"/>
  <c r="L171" i="15" s="1"/>
  <c r="N171" i="15" s="1"/>
  <c r="B171" i="15"/>
  <c r="X170" i="15"/>
  <c r="Z170" i="15" s="1"/>
  <c r="L170" i="15"/>
  <c r="N170" i="15" s="1"/>
  <c r="B170" i="15"/>
  <c r="T169" i="15"/>
  <c r="P169" i="15"/>
  <c r="X169" i="15" s="1"/>
  <c r="Z169" i="15" s="1"/>
  <c r="N169" i="15"/>
  <c r="L169" i="15"/>
  <c r="H169" i="15"/>
  <c r="D169" i="15"/>
  <c r="B169" i="15"/>
  <c r="Z168" i="15"/>
  <c r="X168" i="15"/>
  <c r="N168" i="15"/>
  <c r="L168" i="15"/>
  <c r="B168" i="15"/>
  <c r="Z167" i="15"/>
  <c r="X167" i="15"/>
  <c r="T167" i="15"/>
  <c r="P167" i="15"/>
  <c r="L167" i="15"/>
  <c r="H167" i="15"/>
  <c r="N167" i="15" s="1"/>
  <c r="D167" i="15"/>
  <c r="B167" i="15"/>
  <c r="Z166" i="15"/>
  <c r="X166" i="15"/>
  <c r="N166" i="15"/>
  <c r="L166" i="15"/>
  <c r="B166" i="15"/>
  <c r="X165" i="15"/>
  <c r="Z165" i="15" s="1"/>
  <c r="N165" i="15"/>
  <c r="L165" i="15"/>
  <c r="B165" i="15"/>
  <c r="T164" i="15"/>
  <c r="P164" i="15"/>
  <c r="H164" i="15"/>
  <c r="N164" i="15" s="1"/>
  <c r="D164" i="15"/>
  <c r="L164" i="15" s="1"/>
  <c r="B164" i="15"/>
  <c r="Z163" i="15"/>
  <c r="X163" i="15"/>
  <c r="N163" i="15"/>
  <c r="L163" i="15"/>
  <c r="B163" i="15"/>
  <c r="T162" i="15"/>
  <c r="Z162" i="15" s="1"/>
  <c r="P162" i="15"/>
  <c r="X162" i="15" s="1"/>
  <c r="L162" i="15"/>
  <c r="H162" i="15"/>
  <c r="N162" i="15" s="1"/>
  <c r="D162" i="15"/>
  <c r="B162" i="15"/>
  <c r="Z161" i="15"/>
  <c r="X161" i="15"/>
  <c r="L161" i="15"/>
  <c r="N161" i="15" s="1"/>
  <c r="B161" i="15"/>
  <c r="X160" i="15"/>
  <c r="T160" i="15"/>
  <c r="Z160" i="15" s="1"/>
  <c r="P160" i="15"/>
  <c r="L160" i="15"/>
  <c r="H160" i="15"/>
  <c r="D160" i="15"/>
  <c r="B160" i="15"/>
  <c r="Z159" i="15"/>
  <c r="X159" i="15"/>
  <c r="N159" i="15"/>
  <c r="L159" i="15"/>
  <c r="B159" i="15"/>
  <c r="X158" i="15"/>
  <c r="Z158" i="15" s="1"/>
  <c r="L158" i="15"/>
  <c r="N158" i="15" s="1"/>
  <c r="B158" i="15"/>
  <c r="Z157" i="15"/>
  <c r="T157" i="15"/>
  <c r="P157" i="15"/>
  <c r="X157" i="15" s="1"/>
  <c r="N157" i="15"/>
  <c r="L157" i="15"/>
  <c r="H157" i="15"/>
  <c r="D157" i="15"/>
  <c r="B157" i="15"/>
  <c r="X156" i="15"/>
  <c r="Z156" i="15" s="1"/>
  <c r="L156" i="15"/>
  <c r="N156" i="15" s="1"/>
  <c r="B156" i="15"/>
  <c r="Z155" i="15"/>
  <c r="X155" i="15"/>
  <c r="T155" i="15"/>
  <c r="P155" i="15"/>
  <c r="L155" i="15"/>
  <c r="H155" i="15"/>
  <c r="N155" i="15" s="1"/>
  <c r="D155" i="15"/>
  <c r="B155" i="15"/>
  <c r="X154" i="15"/>
  <c r="Z154" i="15" s="1"/>
  <c r="N154" i="15"/>
  <c r="L154" i="15"/>
  <c r="B154" i="15"/>
  <c r="T153" i="15"/>
  <c r="P153" i="15"/>
  <c r="N153" i="15"/>
  <c r="H153" i="15"/>
  <c r="D153" i="15"/>
  <c r="L153" i="15" s="1"/>
  <c r="B153" i="15"/>
  <c r="Z152" i="15"/>
  <c r="X152" i="15"/>
  <c r="N152" i="15"/>
  <c r="L152" i="15"/>
  <c r="B152" i="15"/>
  <c r="Z151" i="15"/>
  <c r="T151" i="15"/>
  <c r="P151" i="15"/>
  <c r="X151" i="15" s="1"/>
  <c r="N151" i="15"/>
  <c r="H151" i="15"/>
  <c r="D151" i="15"/>
  <c r="L151" i="15" s="1"/>
  <c r="B151" i="15"/>
  <c r="X150" i="15"/>
  <c r="Z150" i="15" s="1"/>
  <c r="N150" i="15"/>
  <c r="L150" i="15"/>
  <c r="B150" i="15"/>
  <c r="Z149" i="15"/>
  <c r="X149" i="15"/>
  <c r="L149" i="15"/>
  <c r="N149" i="15" s="1"/>
  <c r="B149" i="15"/>
  <c r="X148" i="15"/>
  <c r="Z148" i="15" s="1"/>
  <c r="T148" i="15"/>
  <c r="P148" i="15"/>
  <c r="H148" i="15"/>
  <c r="D148" i="15"/>
  <c r="B148" i="15"/>
  <c r="Z147" i="15"/>
  <c r="X147" i="15"/>
  <c r="N147" i="15"/>
  <c r="L147" i="15"/>
  <c r="B147" i="15"/>
  <c r="X146" i="15"/>
  <c r="Z146" i="15" s="1"/>
  <c r="N146" i="15"/>
  <c r="L146" i="15"/>
  <c r="B146" i="15"/>
  <c r="T145" i="15"/>
  <c r="P145" i="15"/>
  <c r="X145" i="15" s="1"/>
  <c r="Z145" i="15" s="1"/>
  <c r="N145" i="15"/>
  <c r="L145" i="15"/>
  <c r="H145" i="15"/>
  <c r="D145" i="15"/>
  <c r="B145" i="15"/>
  <c r="X144" i="15"/>
  <c r="Z144" i="15" s="1"/>
  <c r="L144" i="15"/>
  <c r="N144" i="15" s="1"/>
  <c r="B144" i="15"/>
  <c r="Z143" i="15"/>
  <c r="X143" i="15"/>
  <c r="T143" i="15"/>
  <c r="P143" i="15"/>
  <c r="H143" i="15"/>
  <c r="D143" i="15"/>
  <c r="B143" i="15"/>
  <c r="Z142" i="15"/>
  <c r="X142" i="15"/>
  <c r="N142" i="15"/>
  <c r="L142" i="15"/>
  <c r="B142" i="15"/>
  <c r="X141" i="15"/>
  <c r="T141" i="15"/>
  <c r="P141" i="15"/>
  <c r="H141" i="15"/>
  <c r="D141" i="15"/>
  <c r="L141" i="15" s="1"/>
  <c r="N141" i="15" s="1"/>
  <c r="B141" i="15"/>
  <c r="X140" i="15"/>
  <c r="Z140" i="15" s="1"/>
  <c r="N140" i="15"/>
  <c r="L140" i="15"/>
  <c r="B140" i="15"/>
  <c r="X139" i="15"/>
  <c r="Z139" i="15" s="1"/>
  <c r="T139" i="15"/>
  <c r="P139" i="15"/>
  <c r="H139" i="15"/>
  <c r="N139" i="15" s="1"/>
  <c r="D139" i="15"/>
  <c r="L139" i="15" s="1"/>
  <c r="B139" i="15"/>
  <c r="Z138" i="15"/>
  <c r="X138" i="15"/>
  <c r="N138" i="15"/>
  <c r="L138" i="15"/>
  <c r="B138" i="15"/>
  <c r="Z137" i="15"/>
  <c r="X137" i="15"/>
  <c r="L137" i="15"/>
  <c r="N137" i="15" s="1"/>
  <c r="B137" i="15"/>
  <c r="Z136" i="15"/>
  <c r="X136" i="15"/>
  <c r="L136" i="15"/>
  <c r="N136" i="15" s="1"/>
  <c r="B136" i="15"/>
  <c r="Z135" i="15"/>
  <c r="X135" i="15"/>
  <c r="L135" i="15"/>
  <c r="N135" i="15" s="1"/>
  <c r="B135" i="15"/>
  <c r="Z134" i="15"/>
  <c r="X134" i="15"/>
  <c r="L134" i="15"/>
  <c r="N134" i="15" s="1"/>
  <c r="B134" i="15"/>
  <c r="X133" i="15"/>
  <c r="Z133" i="15" s="1"/>
  <c r="L133" i="15"/>
  <c r="N133" i="15" s="1"/>
  <c r="B133" i="15"/>
  <c r="Z132" i="15"/>
  <c r="X132" i="15"/>
  <c r="N132" i="15"/>
  <c r="L132" i="15"/>
  <c r="B132" i="15"/>
  <c r="T131" i="15"/>
  <c r="P131" i="15"/>
  <c r="X131" i="15" s="1"/>
  <c r="H131" i="15"/>
  <c r="D131" i="15"/>
  <c r="L131" i="15" s="1"/>
  <c r="N131" i="15" s="1"/>
  <c r="B131" i="15"/>
  <c r="Z130" i="15"/>
  <c r="X130" i="15"/>
  <c r="L130" i="15"/>
  <c r="N130" i="15" s="1"/>
  <c r="B130" i="15"/>
  <c r="Z129" i="15"/>
  <c r="X129" i="15"/>
  <c r="L129" i="15"/>
  <c r="N129" i="15" s="1"/>
  <c r="B129" i="15"/>
  <c r="Z128" i="15"/>
  <c r="X128" i="15"/>
  <c r="N128" i="15"/>
  <c r="L128" i="15"/>
  <c r="B128" i="15"/>
  <c r="Z127" i="15"/>
  <c r="X127" i="15"/>
  <c r="L127" i="15"/>
  <c r="N127" i="15" s="1"/>
  <c r="B127" i="15"/>
  <c r="Z126" i="15"/>
  <c r="X126" i="15"/>
  <c r="N126" i="15"/>
  <c r="L126" i="15"/>
  <c r="B126" i="15"/>
  <c r="X125" i="15"/>
  <c r="Z125" i="15" s="1"/>
  <c r="N125" i="15"/>
  <c r="L125" i="15"/>
  <c r="B125" i="15"/>
  <c r="Z124" i="15"/>
  <c r="X124" i="15"/>
  <c r="N124" i="15"/>
  <c r="L124" i="15"/>
  <c r="B124" i="15"/>
  <c r="X123" i="15"/>
  <c r="Z123" i="15" s="1"/>
  <c r="N123" i="15"/>
  <c r="L123" i="15"/>
  <c r="B123" i="15"/>
  <c r="Z122" i="15"/>
  <c r="X122" i="15"/>
  <c r="L122" i="15"/>
  <c r="N122" i="15" s="1"/>
  <c r="B122" i="15"/>
  <c r="Z121" i="15"/>
  <c r="X121" i="15"/>
  <c r="L121" i="15"/>
  <c r="N121" i="15" s="1"/>
  <c r="B121" i="15"/>
  <c r="T120" i="15"/>
  <c r="P120" i="15"/>
  <c r="X120" i="15" s="1"/>
  <c r="N120" i="15"/>
  <c r="L120" i="15"/>
  <c r="H120" i="15"/>
  <c r="D120" i="15"/>
  <c r="B120" i="15"/>
  <c r="X119" i="15"/>
  <c r="T119" i="15"/>
  <c r="Z119" i="15" s="1"/>
  <c r="P119" i="15"/>
  <c r="L119" i="15"/>
  <c r="H119" i="15"/>
  <c r="D119" i="15"/>
  <c r="Z115" i="15"/>
  <c r="X115" i="15"/>
  <c r="N115" i="15"/>
  <c r="L115" i="15"/>
  <c r="B115" i="15"/>
  <c r="Z114" i="15"/>
  <c r="X114" i="15"/>
  <c r="L114" i="15"/>
  <c r="N114" i="15" s="1"/>
  <c r="B114" i="15"/>
  <c r="Z113" i="15"/>
  <c r="X113" i="15"/>
  <c r="N113" i="15"/>
  <c r="L113" i="15"/>
  <c r="B113" i="15"/>
  <c r="Z112" i="15"/>
  <c r="X112" i="15"/>
  <c r="N112" i="15"/>
  <c r="L112" i="15"/>
  <c r="B112" i="15"/>
  <c r="X111" i="15"/>
  <c r="Z111" i="15" s="1"/>
  <c r="L111" i="15"/>
  <c r="N111" i="15" s="1"/>
  <c r="B111" i="15"/>
  <c r="X110" i="15"/>
  <c r="Z110" i="15" s="1"/>
  <c r="N110" i="15"/>
  <c r="L110" i="15"/>
  <c r="B110" i="15"/>
  <c r="X109" i="15"/>
  <c r="Z109" i="15" s="1"/>
  <c r="N109" i="15"/>
  <c r="L109" i="15"/>
  <c r="B109" i="15"/>
  <c r="Z108" i="15"/>
  <c r="X108" i="15"/>
  <c r="N108" i="15"/>
  <c r="L108" i="15"/>
  <c r="B108" i="15"/>
  <c r="X107" i="15"/>
  <c r="Z107" i="15" s="1"/>
  <c r="L107" i="15"/>
  <c r="N107" i="15" s="1"/>
  <c r="B107" i="15"/>
  <c r="Z106" i="15"/>
  <c r="X106" i="15"/>
  <c r="L106" i="15"/>
  <c r="N106" i="15" s="1"/>
  <c r="B106" i="15"/>
  <c r="Z105" i="15"/>
  <c r="X105" i="15"/>
  <c r="N105" i="15"/>
  <c r="L105" i="15"/>
  <c r="B105" i="15"/>
  <c r="Z104" i="15"/>
  <c r="X104" i="15"/>
  <c r="N104" i="15"/>
  <c r="L104" i="15"/>
  <c r="B104" i="15"/>
  <c r="X103" i="15"/>
  <c r="Z103" i="15" s="1"/>
  <c r="L103" i="15"/>
  <c r="N103" i="15" s="1"/>
  <c r="B103" i="15"/>
  <c r="X102" i="15"/>
  <c r="Z102" i="15" s="1"/>
  <c r="N102" i="15"/>
  <c r="L102" i="15"/>
  <c r="B102" i="15"/>
  <c r="Z101" i="15"/>
  <c r="X101" i="15"/>
  <c r="N101" i="15"/>
  <c r="L101" i="15"/>
  <c r="B101" i="15"/>
  <c r="Z100" i="15"/>
  <c r="X100" i="15"/>
  <c r="N100" i="15"/>
  <c r="L100" i="15"/>
  <c r="B100" i="15"/>
  <c r="X99" i="15"/>
  <c r="Z99" i="15" s="1"/>
  <c r="L99" i="15"/>
  <c r="N99" i="15" s="1"/>
  <c r="B99" i="15"/>
  <c r="Z98" i="15"/>
  <c r="X98" i="15"/>
  <c r="N98" i="15"/>
  <c r="L98" i="15"/>
  <c r="B98" i="15"/>
  <c r="Z97" i="15"/>
  <c r="X97" i="15"/>
  <c r="L97" i="15"/>
  <c r="N97" i="15" s="1"/>
  <c r="B97" i="15"/>
  <c r="Z96" i="15"/>
  <c r="X96" i="15"/>
  <c r="N96" i="15"/>
  <c r="L96" i="15"/>
  <c r="B96" i="15"/>
  <c r="X95" i="15"/>
  <c r="Z95" i="15" s="1"/>
  <c r="L95" i="15"/>
  <c r="N95" i="15" s="1"/>
  <c r="B95" i="15"/>
  <c r="X94" i="15"/>
  <c r="Z94" i="15" s="1"/>
  <c r="N94" i="15"/>
  <c r="L94" i="15"/>
  <c r="B94" i="15"/>
  <c r="X93" i="15"/>
  <c r="Z93" i="15" s="1"/>
  <c r="N93" i="15"/>
  <c r="L93" i="15"/>
  <c r="B93" i="15"/>
  <c r="Z92" i="15"/>
  <c r="X92" i="15"/>
  <c r="N92" i="15"/>
  <c r="L92" i="15"/>
  <c r="B92" i="15"/>
  <c r="X91" i="15"/>
  <c r="Z91" i="15" s="1"/>
  <c r="L91" i="15"/>
  <c r="N91" i="15" s="1"/>
  <c r="B91" i="15"/>
  <c r="Z90" i="15"/>
  <c r="X90" i="15"/>
  <c r="L90" i="15"/>
  <c r="N90" i="15" s="1"/>
  <c r="B90" i="15"/>
  <c r="Z89" i="15"/>
  <c r="X89" i="15"/>
  <c r="L89" i="15"/>
  <c r="N89" i="15" s="1"/>
  <c r="B89" i="15"/>
  <c r="Z88" i="15"/>
  <c r="X88" i="15"/>
  <c r="N88" i="15"/>
  <c r="L88" i="15"/>
  <c r="B88" i="15"/>
  <c r="X87" i="15"/>
  <c r="Z87" i="15" s="1"/>
  <c r="L87" i="15"/>
  <c r="N87" i="15" s="1"/>
  <c r="B87" i="15"/>
  <c r="X86" i="15"/>
  <c r="Z86" i="15" s="1"/>
  <c r="N86" i="15"/>
  <c r="L86" i="15"/>
  <c r="B86" i="15"/>
  <c r="X85" i="15"/>
  <c r="Z85" i="15" s="1"/>
  <c r="N85" i="15"/>
  <c r="L85" i="15"/>
  <c r="B85" i="15"/>
  <c r="Z84" i="15"/>
  <c r="X84" i="15"/>
  <c r="N84" i="15"/>
  <c r="L84" i="15"/>
  <c r="B84" i="15"/>
  <c r="X83" i="15"/>
  <c r="Z83" i="15" s="1"/>
  <c r="L83" i="15"/>
  <c r="N83" i="15" s="1"/>
  <c r="B83" i="15"/>
  <c r="Z82" i="15"/>
  <c r="X82" i="15"/>
  <c r="L82" i="15"/>
  <c r="N82" i="15" s="1"/>
  <c r="B82" i="15"/>
  <c r="Z81" i="15"/>
  <c r="X81" i="15"/>
  <c r="L81" i="15"/>
  <c r="N81" i="15" s="1"/>
  <c r="B81" i="15"/>
  <c r="Z80" i="15"/>
  <c r="X80" i="15"/>
  <c r="N80" i="15"/>
  <c r="L80" i="15"/>
  <c r="B80" i="15"/>
  <c r="Z79" i="15"/>
  <c r="X79" i="15"/>
  <c r="N79" i="15"/>
  <c r="L79" i="15"/>
  <c r="B79" i="15"/>
  <c r="T78" i="15"/>
  <c r="Z78" i="15" s="1"/>
  <c r="P78" i="15"/>
  <c r="X78" i="15" s="1"/>
  <c r="H78" i="15"/>
  <c r="D78" i="15"/>
  <c r="L78" i="15" s="1"/>
  <c r="N78" i="15" s="1"/>
  <c r="Z76" i="15"/>
  <c r="X76" i="15"/>
  <c r="T76" i="15"/>
  <c r="P76" i="15"/>
  <c r="H76" i="15"/>
  <c r="D76" i="15"/>
  <c r="B76" i="15"/>
  <c r="Z75" i="15"/>
  <c r="X75" i="15"/>
  <c r="T75" i="15"/>
  <c r="P75" i="15"/>
  <c r="N75" i="15"/>
  <c r="L75" i="15"/>
  <c r="H75" i="15"/>
  <c r="D75" i="15"/>
  <c r="B75" i="15"/>
  <c r="T74" i="15"/>
  <c r="P74" i="15"/>
  <c r="X74" i="15" s="1"/>
  <c r="Z74" i="15" s="1"/>
  <c r="H74" i="15"/>
  <c r="N74" i="15" s="1"/>
  <c r="D74" i="15"/>
  <c r="B74" i="15"/>
  <c r="T73" i="15"/>
  <c r="P73" i="15"/>
  <c r="X73" i="15" s="1"/>
  <c r="L73" i="15"/>
  <c r="H73" i="15"/>
  <c r="N73" i="15" s="1"/>
  <c r="D73" i="15"/>
  <c r="B73" i="15"/>
  <c r="T72" i="15"/>
  <c r="P72" i="15"/>
  <c r="N72" i="15"/>
  <c r="L72" i="15"/>
  <c r="H72" i="15"/>
  <c r="D72" i="15"/>
  <c r="B72" i="15"/>
  <c r="X71" i="15"/>
  <c r="Z71" i="15" s="1"/>
  <c r="T71" i="15"/>
  <c r="P71" i="15"/>
  <c r="N71" i="15"/>
  <c r="L71" i="15"/>
  <c r="H71" i="15"/>
  <c r="D71" i="15"/>
  <c r="B71" i="15"/>
  <c r="T70" i="15"/>
  <c r="P70" i="15"/>
  <c r="H70" i="15"/>
  <c r="D70" i="15"/>
  <c r="L70" i="15" s="1"/>
  <c r="N70" i="15" s="1"/>
  <c r="B70" i="15"/>
  <c r="X69" i="15"/>
  <c r="T69" i="15"/>
  <c r="Z69" i="15" s="1"/>
  <c r="P69" i="15"/>
  <c r="H69" i="15"/>
  <c r="N69" i="15" s="1"/>
  <c r="D69" i="15"/>
  <c r="L69" i="15" s="1"/>
  <c r="B69" i="15"/>
  <c r="Z68" i="15"/>
  <c r="X68" i="15"/>
  <c r="T68" i="15"/>
  <c r="P68" i="15"/>
  <c r="H68" i="15"/>
  <c r="D68" i="15"/>
  <c r="B68" i="15"/>
  <c r="Z67" i="15"/>
  <c r="X67" i="15"/>
  <c r="T67" i="15"/>
  <c r="P67" i="15"/>
  <c r="N67" i="15"/>
  <c r="L67" i="15"/>
  <c r="H67" i="15"/>
  <c r="D67" i="15"/>
  <c r="B67" i="15"/>
  <c r="T66" i="15"/>
  <c r="P66" i="15"/>
  <c r="X66" i="15" s="1"/>
  <c r="Z66" i="15" s="1"/>
  <c r="N66" i="15"/>
  <c r="H66" i="15"/>
  <c r="D66" i="15"/>
  <c r="L66" i="15" s="1"/>
  <c r="B66" i="15"/>
  <c r="T65" i="15"/>
  <c r="P65" i="15"/>
  <c r="X65" i="15" s="1"/>
  <c r="L65" i="15"/>
  <c r="H65" i="15"/>
  <c r="D65" i="15"/>
  <c r="B65" i="15"/>
  <c r="T64" i="15"/>
  <c r="P64" i="15"/>
  <c r="N64" i="15"/>
  <c r="L64" i="15"/>
  <c r="H64" i="15"/>
  <c r="D64" i="15"/>
  <c r="B64" i="15"/>
  <c r="X63" i="15"/>
  <c r="Z63" i="15" s="1"/>
  <c r="T63" i="15"/>
  <c r="P63" i="15"/>
  <c r="N63" i="15"/>
  <c r="L63" i="15"/>
  <c r="H63" i="15"/>
  <c r="D63" i="15"/>
  <c r="B63" i="15"/>
  <c r="T62" i="15"/>
  <c r="P62" i="15"/>
  <c r="N62" i="15"/>
  <c r="H62" i="15"/>
  <c r="D62" i="15"/>
  <c r="L62" i="15" s="1"/>
  <c r="B62" i="15"/>
  <c r="X61" i="15"/>
  <c r="T61" i="15"/>
  <c r="P61" i="15"/>
  <c r="H61" i="15"/>
  <c r="N61" i="15" s="1"/>
  <c r="D61" i="15"/>
  <c r="L61" i="15" s="1"/>
  <c r="B61" i="15"/>
  <c r="Z60" i="15"/>
  <c r="X60" i="15"/>
  <c r="T60" i="15"/>
  <c r="P60" i="15"/>
  <c r="H60" i="15"/>
  <c r="D60" i="15"/>
  <c r="B60" i="15"/>
  <c r="Z59" i="15"/>
  <c r="X59" i="15"/>
  <c r="T59" i="15"/>
  <c r="P59" i="15"/>
  <c r="L59" i="15"/>
  <c r="N59" i="15" s="1"/>
  <c r="H59" i="15"/>
  <c r="D59" i="15"/>
  <c r="B59" i="15"/>
  <c r="T58" i="15"/>
  <c r="P58" i="15"/>
  <c r="X58" i="15" s="1"/>
  <c r="Z58" i="15" s="1"/>
  <c r="H58" i="15"/>
  <c r="D58" i="15"/>
  <c r="B58" i="15"/>
  <c r="T57" i="15"/>
  <c r="Z57" i="15" s="1"/>
  <c r="P57" i="15"/>
  <c r="X57" i="15" s="1"/>
  <c r="L57" i="15"/>
  <c r="H57" i="15"/>
  <c r="N57" i="15" s="1"/>
  <c r="D57" i="15"/>
  <c r="B57" i="15"/>
  <c r="T56" i="15"/>
  <c r="P56" i="15"/>
  <c r="N56" i="15"/>
  <c r="L56" i="15"/>
  <c r="H56" i="15"/>
  <c r="D56" i="15"/>
  <c r="B56" i="15"/>
  <c r="X55" i="15"/>
  <c r="Z55" i="15" s="1"/>
  <c r="T55" i="15"/>
  <c r="P55" i="15"/>
  <c r="N55" i="15"/>
  <c r="L55" i="15"/>
  <c r="H55" i="15"/>
  <c r="D55" i="15"/>
  <c r="B55" i="15"/>
  <c r="Z54" i="15"/>
  <c r="T54" i="15"/>
  <c r="P54" i="15"/>
  <c r="X54" i="15" s="1"/>
  <c r="H54" i="15"/>
  <c r="D54" i="15"/>
  <c r="L54" i="15" s="1"/>
  <c r="N54" i="15" s="1"/>
  <c r="B54" i="15"/>
  <c r="X53" i="15"/>
  <c r="T53" i="15"/>
  <c r="P53" i="15"/>
  <c r="H53" i="15"/>
  <c r="N53" i="15" s="1"/>
  <c r="D53" i="15"/>
  <c r="L53" i="15" s="1"/>
  <c r="B53" i="15"/>
  <c r="Z52" i="15"/>
  <c r="X52" i="15"/>
  <c r="T52" i="15"/>
  <c r="P52" i="15"/>
  <c r="H52" i="15"/>
  <c r="D52" i="15"/>
  <c r="B52" i="15"/>
  <c r="Z51" i="15"/>
  <c r="X51" i="15"/>
  <c r="T51" i="15"/>
  <c r="P51" i="15"/>
  <c r="L51" i="15"/>
  <c r="N51" i="15" s="1"/>
  <c r="H51" i="15"/>
  <c r="D51" i="15"/>
  <c r="B51" i="15"/>
  <c r="T50" i="15"/>
  <c r="P50" i="15"/>
  <c r="X50" i="15" s="1"/>
  <c r="Z50" i="15" s="1"/>
  <c r="H50" i="15"/>
  <c r="D50" i="15"/>
  <c r="B50" i="15"/>
  <c r="T49" i="15"/>
  <c r="P49" i="15"/>
  <c r="X49" i="15" s="1"/>
  <c r="L49" i="15"/>
  <c r="H49" i="15"/>
  <c r="D49" i="15"/>
  <c r="B49" i="15"/>
  <c r="T48" i="15"/>
  <c r="P48" i="15"/>
  <c r="N48" i="15"/>
  <c r="L48" i="15"/>
  <c r="H48" i="15"/>
  <c r="D48" i="15"/>
  <c r="B48" i="15"/>
  <c r="T47" i="15"/>
  <c r="P47" i="15"/>
  <c r="X47" i="15" s="1"/>
  <c r="Z47" i="15" s="1"/>
  <c r="N47" i="15"/>
  <c r="L47" i="15"/>
  <c r="H47" i="15"/>
  <c r="D47" i="15"/>
  <c r="B47" i="15"/>
  <c r="T46" i="15"/>
  <c r="P46" i="15"/>
  <c r="X46" i="15" s="1"/>
  <c r="Z46" i="15" s="1"/>
  <c r="N46" i="15"/>
  <c r="H46" i="15"/>
  <c r="D46" i="15"/>
  <c r="L46" i="15" s="1"/>
  <c r="B46" i="15"/>
  <c r="X45" i="15"/>
  <c r="T45" i="15"/>
  <c r="Z45" i="15" s="1"/>
  <c r="P45" i="15"/>
  <c r="H45" i="15"/>
  <c r="N45" i="15" s="1"/>
  <c r="D45" i="15"/>
  <c r="L45" i="15" s="1"/>
  <c r="B45" i="15"/>
  <c r="Z44" i="15"/>
  <c r="X44" i="15"/>
  <c r="T44" i="15"/>
  <c r="P44" i="15"/>
  <c r="H44" i="15"/>
  <c r="D44" i="15"/>
  <c r="B44" i="15"/>
  <c r="Z43" i="15"/>
  <c r="X43" i="15"/>
  <c r="T43" i="15"/>
  <c r="P43" i="15"/>
  <c r="H43" i="15"/>
  <c r="D43" i="15"/>
  <c r="L43" i="15" s="1"/>
  <c r="N43" i="15" s="1"/>
  <c r="B43" i="15"/>
  <c r="T42" i="15"/>
  <c r="P42" i="15"/>
  <c r="X42" i="15" s="1"/>
  <c r="Z42" i="15" s="1"/>
  <c r="H42" i="15"/>
  <c r="N42" i="15" s="1"/>
  <c r="D42" i="15"/>
  <c r="L42" i="15" s="1"/>
  <c r="B42" i="15"/>
  <c r="T41" i="15"/>
  <c r="Z41" i="15" s="1"/>
  <c r="P41" i="15"/>
  <c r="X41" i="15" s="1"/>
  <c r="L41" i="15"/>
  <c r="H41" i="15"/>
  <c r="N41" i="15" s="1"/>
  <c r="D41" i="15"/>
  <c r="B41" i="15"/>
  <c r="T40" i="15"/>
  <c r="P40" i="15"/>
  <c r="N40" i="15"/>
  <c r="L40" i="15"/>
  <c r="H40" i="15"/>
  <c r="D40" i="15"/>
  <c r="B40" i="15"/>
  <c r="T39" i="15"/>
  <c r="P39" i="15"/>
  <c r="X39" i="15" s="1"/>
  <c r="Z39" i="15" s="1"/>
  <c r="N39" i="15"/>
  <c r="L39" i="15"/>
  <c r="H39" i="15"/>
  <c r="D39" i="15"/>
  <c r="B39" i="15"/>
  <c r="T38" i="15"/>
  <c r="P38" i="15"/>
  <c r="H38" i="15"/>
  <c r="D38" i="15"/>
  <c r="L38" i="15" s="1"/>
  <c r="N38" i="15" s="1"/>
  <c r="B38" i="15"/>
  <c r="X37" i="15"/>
  <c r="T37" i="15"/>
  <c r="P37" i="15"/>
  <c r="H37" i="15"/>
  <c r="N37" i="15" s="1"/>
  <c r="D37" i="15"/>
  <c r="L37" i="15" s="1"/>
  <c r="B37" i="15"/>
  <c r="Z36" i="15"/>
  <c r="X36" i="15"/>
  <c r="T36" i="15"/>
  <c r="P36" i="15"/>
  <c r="H36" i="15"/>
  <c r="D36" i="15"/>
  <c r="B36" i="15"/>
  <c r="Z35" i="15"/>
  <c r="X35" i="15"/>
  <c r="T35" i="15"/>
  <c r="P35" i="15"/>
  <c r="H35" i="15"/>
  <c r="D35" i="15"/>
  <c r="L35" i="15" s="1"/>
  <c r="N35" i="15" s="1"/>
  <c r="B35" i="15"/>
  <c r="T34" i="15"/>
  <c r="P34" i="15"/>
  <c r="X34" i="15" s="1"/>
  <c r="Z34" i="15" s="1"/>
  <c r="H34" i="15"/>
  <c r="D34" i="15"/>
  <c r="B34" i="15"/>
  <c r="T33" i="15"/>
  <c r="Z33" i="15" s="1"/>
  <c r="P33" i="15"/>
  <c r="X33" i="15" s="1"/>
  <c r="L33" i="15"/>
  <c r="H33" i="15"/>
  <c r="N33" i="15" s="1"/>
  <c r="D33" i="15"/>
  <c r="B33" i="15"/>
  <c r="T32" i="15"/>
  <c r="P32" i="15"/>
  <c r="N32" i="15"/>
  <c r="L32" i="15"/>
  <c r="H32" i="15"/>
  <c r="D32" i="15"/>
  <c r="B32" i="15"/>
  <c r="X31" i="15"/>
  <c r="Z31" i="15" s="1"/>
  <c r="T31" i="15"/>
  <c r="P31" i="15"/>
  <c r="N31" i="15"/>
  <c r="L31" i="15"/>
  <c r="H31" i="15"/>
  <c r="D31" i="15"/>
  <c r="B31" i="15"/>
  <c r="Z30" i="15"/>
  <c r="T30" i="15"/>
  <c r="P30" i="15"/>
  <c r="X30" i="15" s="1"/>
  <c r="H30" i="15"/>
  <c r="D30" i="15"/>
  <c r="L30" i="15" s="1"/>
  <c r="N30" i="15" s="1"/>
  <c r="B30" i="15"/>
  <c r="X29" i="15"/>
  <c r="T29" i="15"/>
  <c r="Z29" i="15" s="1"/>
  <c r="P29" i="15"/>
  <c r="H29" i="15"/>
  <c r="D29" i="15"/>
  <c r="L29" i="15" s="1"/>
  <c r="B29" i="15"/>
  <c r="Z28" i="15"/>
  <c r="X28" i="15"/>
  <c r="T28" i="15"/>
  <c r="P28" i="15"/>
  <c r="H28" i="15"/>
  <c r="D28" i="15"/>
  <c r="B28" i="15"/>
  <c r="Z27" i="15"/>
  <c r="X27" i="15"/>
  <c r="T27" i="15"/>
  <c r="P27" i="15"/>
  <c r="L27" i="15"/>
  <c r="N27" i="15" s="1"/>
  <c r="H27" i="15"/>
  <c r="D27" i="15"/>
  <c r="B27" i="15"/>
  <c r="T26" i="15"/>
  <c r="P26" i="15"/>
  <c r="X26" i="15" s="1"/>
  <c r="Z26" i="15" s="1"/>
  <c r="N26" i="15"/>
  <c r="H26" i="15"/>
  <c r="D26" i="15"/>
  <c r="L26" i="15" s="1"/>
  <c r="B26" i="15"/>
  <c r="T25" i="15"/>
  <c r="P25" i="15"/>
  <c r="X25" i="15" s="1"/>
  <c r="L25" i="15"/>
  <c r="H25" i="15"/>
  <c r="N25" i="15" s="1"/>
  <c r="D25" i="15"/>
  <c r="B25" i="15"/>
  <c r="T24" i="15"/>
  <c r="P24" i="15"/>
  <c r="N24" i="15"/>
  <c r="L24" i="15"/>
  <c r="H24" i="15"/>
  <c r="D24" i="15"/>
  <c r="B24" i="15"/>
  <c r="X23" i="15"/>
  <c r="Z23" i="15" s="1"/>
  <c r="T23" i="15"/>
  <c r="P23" i="15"/>
  <c r="N23" i="15"/>
  <c r="L23" i="15"/>
  <c r="H23" i="15"/>
  <c r="D23" i="15"/>
  <c r="B23" i="15"/>
  <c r="T22" i="15"/>
  <c r="P22" i="15"/>
  <c r="H22" i="15"/>
  <c r="D22" i="15"/>
  <c r="L22" i="15" s="1"/>
  <c r="N22" i="15" s="1"/>
  <c r="B22" i="15"/>
  <c r="X21" i="15"/>
  <c r="T21" i="15"/>
  <c r="Z21" i="15" s="1"/>
  <c r="P21" i="15"/>
  <c r="H21" i="15"/>
  <c r="N21" i="15" s="1"/>
  <c r="D21" i="15"/>
  <c r="L21" i="15" s="1"/>
  <c r="B21" i="15"/>
  <c r="Z20" i="15"/>
  <c r="X20" i="15"/>
  <c r="T20" i="15"/>
  <c r="P20" i="15"/>
  <c r="H20" i="15"/>
  <c r="D20" i="15"/>
  <c r="B20" i="15"/>
  <c r="Z19" i="15"/>
  <c r="X19" i="15"/>
  <c r="T19" i="15"/>
  <c r="P19" i="15"/>
  <c r="L19" i="15"/>
  <c r="N19" i="15" s="1"/>
  <c r="H19" i="15"/>
  <c r="D19" i="15"/>
  <c r="B19" i="15"/>
  <c r="T18" i="15"/>
  <c r="P18" i="15"/>
  <c r="X18" i="15" s="1"/>
  <c r="Z18" i="15" s="1"/>
  <c r="H18" i="15"/>
  <c r="D18" i="15"/>
  <c r="L18" i="15" s="1"/>
  <c r="N18" i="15" s="1"/>
  <c r="B18" i="15"/>
  <c r="T17" i="15"/>
  <c r="Z17" i="15" s="1"/>
  <c r="P17" i="15"/>
  <c r="X17" i="15" s="1"/>
  <c r="L17" i="15"/>
  <c r="H17" i="15"/>
  <c r="N17" i="15" s="1"/>
  <c r="D17" i="15"/>
  <c r="B17" i="15"/>
  <c r="T16" i="15"/>
  <c r="P16" i="15"/>
  <c r="N16" i="15"/>
  <c r="L16" i="15"/>
  <c r="H16" i="15"/>
  <c r="D16" i="15"/>
  <c r="B16" i="15"/>
  <c r="X15" i="15"/>
  <c r="Z15" i="15" s="1"/>
  <c r="T15" i="15"/>
  <c r="P15" i="15"/>
  <c r="N15" i="15"/>
  <c r="L15" i="15"/>
  <c r="H15" i="15"/>
  <c r="D15" i="15"/>
  <c r="B15" i="15"/>
  <c r="T14" i="15"/>
  <c r="P14" i="15"/>
  <c r="H14" i="15"/>
  <c r="D14" i="15"/>
  <c r="L14" i="15" s="1"/>
  <c r="N14" i="15" s="1"/>
  <c r="B14" i="15"/>
  <c r="X13" i="15"/>
  <c r="T13" i="15"/>
  <c r="Z13" i="15" s="1"/>
  <c r="P13" i="15"/>
  <c r="H13" i="15"/>
  <c r="D13" i="15"/>
  <c r="B13" i="15"/>
  <c r="D4" i="15"/>
  <c r="B39" i="14"/>
  <c r="B38" i="14"/>
  <c r="T34" i="14"/>
  <c r="Z34" i="14" s="1"/>
  <c r="P34" i="14"/>
  <c r="H34" i="14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P12" i="14"/>
  <c r="R34" i="14" s="1"/>
  <c r="H12" i="14"/>
  <c r="J24" i="14" s="1"/>
  <c r="D12" i="14"/>
  <c r="F24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D13" i="13"/>
  <c r="B13" i="13"/>
  <c r="T12" i="13"/>
  <c r="V24" i="13" s="1"/>
  <c r="P12" i="13"/>
  <c r="R20" i="13" s="1"/>
  <c r="H12" i="13"/>
  <c r="J18" i="13" s="1"/>
  <c r="D12" i="13"/>
  <c r="F36" i="13" s="1"/>
  <c r="D5" i="13"/>
  <c r="D4" i="13"/>
  <c r="Z224" i="12"/>
  <c r="X224" i="12"/>
  <c r="L224" i="12"/>
  <c r="N224" i="12" s="1"/>
  <c r="X220" i="12"/>
  <c r="T220" i="12"/>
  <c r="Z220" i="12" s="1"/>
  <c r="P220" i="12"/>
  <c r="H220" i="12"/>
  <c r="D220" i="12"/>
  <c r="B220" i="12"/>
  <c r="T219" i="12"/>
  <c r="P219" i="12"/>
  <c r="X219" i="12" s="1"/>
  <c r="H219" i="12"/>
  <c r="F219" i="12"/>
  <c r="D219" i="12"/>
  <c r="L219" i="12" s="1"/>
  <c r="N219" i="12" s="1"/>
  <c r="B219" i="12"/>
  <c r="T218" i="12"/>
  <c r="P218" i="12"/>
  <c r="X218" i="12" s="1"/>
  <c r="Z218" i="12" s="1"/>
  <c r="L218" i="12"/>
  <c r="H218" i="12"/>
  <c r="N218" i="12" s="1"/>
  <c r="D218" i="12"/>
  <c r="B218" i="12"/>
  <c r="T217" i="12"/>
  <c r="X217" i="12" s="1"/>
  <c r="Z217" i="12" s="1"/>
  <c r="P217" i="12"/>
  <c r="H217" i="12"/>
  <c r="D217" i="12"/>
  <c r="L217" i="12" s="1"/>
  <c r="B217" i="12"/>
  <c r="T216" i="12"/>
  <c r="P216" i="12"/>
  <c r="D216" i="12"/>
  <c r="X214" i="12"/>
  <c r="Z214" i="12" s="1"/>
  <c r="N214" i="12"/>
  <c r="L214" i="12"/>
  <c r="B214" i="12"/>
  <c r="Z213" i="12"/>
  <c r="X213" i="12"/>
  <c r="T213" i="12"/>
  <c r="P213" i="12"/>
  <c r="H213" i="12"/>
  <c r="L213" i="12" s="1"/>
  <c r="N213" i="12" s="1"/>
  <c r="D213" i="12"/>
  <c r="B213" i="12"/>
  <c r="X212" i="12"/>
  <c r="Z212" i="12" s="1"/>
  <c r="N212" i="12"/>
  <c r="L212" i="12"/>
  <c r="B212" i="12"/>
  <c r="Z211" i="12"/>
  <c r="X211" i="12"/>
  <c r="N211" i="12"/>
  <c r="L211" i="12"/>
  <c r="B211" i="12"/>
  <c r="X210" i="12"/>
  <c r="Z210" i="12" s="1"/>
  <c r="N210" i="12"/>
  <c r="L210" i="12"/>
  <c r="B210" i="12"/>
  <c r="Z209" i="12"/>
  <c r="X209" i="12"/>
  <c r="T209" i="12"/>
  <c r="P209" i="12"/>
  <c r="N209" i="12"/>
  <c r="H209" i="12"/>
  <c r="L209" i="12" s="1"/>
  <c r="D209" i="12"/>
  <c r="B209" i="12"/>
  <c r="X208" i="12"/>
  <c r="Z208" i="12" s="1"/>
  <c r="N208" i="12"/>
  <c r="L208" i="12"/>
  <c r="B208" i="12"/>
  <c r="T207" i="12"/>
  <c r="X207" i="12" s="1"/>
  <c r="Z207" i="12" s="1"/>
  <c r="P207" i="12"/>
  <c r="H207" i="12"/>
  <c r="D207" i="12"/>
  <c r="L207" i="12" s="1"/>
  <c r="B207" i="12"/>
  <c r="X206" i="12"/>
  <c r="Z206" i="12" s="1"/>
  <c r="L206" i="12"/>
  <c r="N206" i="12" s="1"/>
  <c r="B206" i="12"/>
  <c r="X205" i="12"/>
  <c r="Z205" i="12" s="1"/>
  <c r="N205" i="12"/>
  <c r="L205" i="12"/>
  <c r="B205" i="12"/>
  <c r="X204" i="12"/>
  <c r="T204" i="12"/>
  <c r="P204" i="12"/>
  <c r="H204" i="12"/>
  <c r="D204" i="12"/>
  <c r="B204" i="12"/>
  <c r="Z203" i="12"/>
  <c r="X203" i="12"/>
  <c r="N203" i="12"/>
  <c r="L203" i="12"/>
  <c r="B203" i="12"/>
  <c r="Z202" i="12"/>
  <c r="X202" i="12"/>
  <c r="L202" i="12"/>
  <c r="N202" i="12" s="1"/>
  <c r="B202" i="12"/>
  <c r="X201" i="12"/>
  <c r="Z201" i="12" s="1"/>
  <c r="N201" i="12"/>
  <c r="L201" i="12"/>
  <c r="B201" i="12"/>
  <c r="X200" i="12"/>
  <c r="Z200" i="12" s="1"/>
  <c r="N200" i="12"/>
  <c r="L200" i="12"/>
  <c r="B200" i="12"/>
  <c r="Z199" i="12"/>
  <c r="X199" i="12"/>
  <c r="N199" i="12"/>
  <c r="L199" i="12"/>
  <c r="B199" i="12"/>
  <c r="X198" i="12"/>
  <c r="Z198" i="12" s="1"/>
  <c r="N198" i="12"/>
  <c r="L198" i="12"/>
  <c r="B198" i="12"/>
  <c r="Z197" i="12"/>
  <c r="X197" i="12"/>
  <c r="L197" i="12"/>
  <c r="N197" i="12" s="1"/>
  <c r="B197" i="12"/>
  <c r="T196" i="12"/>
  <c r="P196" i="12"/>
  <c r="X196" i="12" s="1"/>
  <c r="Z196" i="12" s="1"/>
  <c r="L196" i="12"/>
  <c r="H196" i="12"/>
  <c r="D196" i="12"/>
  <c r="B196" i="12"/>
  <c r="Z195" i="12"/>
  <c r="X195" i="12"/>
  <c r="N195" i="12"/>
  <c r="L195" i="12"/>
  <c r="B195" i="12"/>
  <c r="X194" i="12"/>
  <c r="Z194" i="12" s="1"/>
  <c r="L194" i="12"/>
  <c r="N194" i="12" s="1"/>
  <c r="B194" i="12"/>
  <c r="Z193" i="12"/>
  <c r="X193" i="12"/>
  <c r="T193" i="12"/>
  <c r="P193" i="12"/>
  <c r="N193" i="12"/>
  <c r="H193" i="12"/>
  <c r="L193" i="12" s="1"/>
  <c r="D193" i="12"/>
  <c r="B193" i="12"/>
  <c r="Z192" i="12"/>
  <c r="X192" i="12"/>
  <c r="N192" i="12"/>
  <c r="L192" i="12"/>
  <c r="B192" i="12"/>
  <c r="Z191" i="12"/>
  <c r="X191" i="12"/>
  <c r="N191" i="12"/>
  <c r="L191" i="12"/>
  <c r="B191" i="12"/>
  <c r="X190" i="12"/>
  <c r="Z190" i="12" s="1"/>
  <c r="L190" i="12"/>
  <c r="N190" i="12" s="1"/>
  <c r="B190" i="12"/>
  <c r="Z189" i="12"/>
  <c r="X189" i="12"/>
  <c r="N189" i="12"/>
  <c r="L189" i="12"/>
  <c r="B189" i="12"/>
  <c r="Z188" i="12"/>
  <c r="X188" i="12"/>
  <c r="L188" i="12"/>
  <c r="N188" i="12" s="1"/>
  <c r="B188" i="12"/>
  <c r="T187" i="12"/>
  <c r="P187" i="12"/>
  <c r="X187" i="12" s="1"/>
  <c r="Z187" i="12" s="1"/>
  <c r="N187" i="12"/>
  <c r="L187" i="12"/>
  <c r="H187" i="12"/>
  <c r="D187" i="12"/>
  <c r="B187" i="12"/>
  <c r="X186" i="12"/>
  <c r="Z186" i="12" s="1"/>
  <c r="N186" i="12"/>
  <c r="L186" i="12"/>
  <c r="B186" i="12"/>
  <c r="Z185" i="12"/>
  <c r="X185" i="12"/>
  <c r="L185" i="12"/>
  <c r="N185" i="12" s="1"/>
  <c r="B185" i="12"/>
  <c r="Z184" i="12"/>
  <c r="X184" i="12"/>
  <c r="L184" i="12"/>
  <c r="N184" i="12" s="1"/>
  <c r="B184" i="12"/>
  <c r="T183" i="12"/>
  <c r="P183" i="12"/>
  <c r="X183" i="12" s="1"/>
  <c r="Z183" i="12" s="1"/>
  <c r="N183" i="12"/>
  <c r="L183" i="12"/>
  <c r="H183" i="12"/>
  <c r="D183" i="12"/>
  <c r="B183" i="12"/>
  <c r="X182" i="12"/>
  <c r="Z182" i="12" s="1"/>
  <c r="N182" i="12"/>
  <c r="L182" i="12"/>
  <c r="B182" i="12"/>
  <c r="Z181" i="12"/>
  <c r="X181" i="12"/>
  <c r="L181" i="12"/>
  <c r="N181" i="12" s="1"/>
  <c r="B181" i="12"/>
  <c r="Z180" i="12"/>
  <c r="X180" i="12"/>
  <c r="L180" i="12"/>
  <c r="N180" i="12" s="1"/>
  <c r="B180" i="12"/>
  <c r="Z179" i="12"/>
  <c r="X179" i="12"/>
  <c r="N179" i="12"/>
  <c r="L179" i="12"/>
  <c r="B179" i="12"/>
  <c r="T178" i="12"/>
  <c r="P178" i="12"/>
  <c r="H178" i="12"/>
  <c r="D178" i="12"/>
  <c r="L178" i="12" s="1"/>
  <c r="N178" i="12" s="1"/>
  <c r="B178" i="12"/>
  <c r="Z177" i="12"/>
  <c r="X177" i="12"/>
  <c r="L177" i="12"/>
  <c r="N177" i="12" s="1"/>
  <c r="B177" i="12"/>
  <c r="T176" i="12"/>
  <c r="P176" i="12"/>
  <c r="X176" i="12" s="1"/>
  <c r="Z176" i="12" s="1"/>
  <c r="L176" i="12"/>
  <c r="H176" i="12"/>
  <c r="D176" i="12"/>
  <c r="B176" i="12"/>
  <c r="Z175" i="12"/>
  <c r="X175" i="12"/>
  <c r="N175" i="12"/>
  <c r="L175" i="12"/>
  <c r="B175" i="12"/>
  <c r="X174" i="12"/>
  <c r="T174" i="12"/>
  <c r="Z174" i="12" s="1"/>
  <c r="P174" i="12"/>
  <c r="H174" i="12"/>
  <c r="D174" i="12"/>
  <c r="B174" i="12"/>
  <c r="Z173" i="12"/>
  <c r="X173" i="12"/>
  <c r="N173" i="12"/>
  <c r="L173" i="12"/>
  <c r="B173" i="12"/>
  <c r="X172" i="12"/>
  <c r="Z172" i="12" s="1"/>
  <c r="N172" i="12"/>
  <c r="L172" i="12"/>
  <c r="B172" i="12"/>
  <c r="T171" i="12"/>
  <c r="X171" i="12" s="1"/>
  <c r="Z171" i="12" s="1"/>
  <c r="P171" i="12"/>
  <c r="H171" i="12"/>
  <c r="N171" i="12" s="1"/>
  <c r="D171" i="12"/>
  <c r="L171" i="12" s="1"/>
  <c r="B171" i="12"/>
  <c r="X170" i="12"/>
  <c r="Z170" i="12" s="1"/>
  <c r="L170" i="12"/>
  <c r="N170" i="12" s="1"/>
  <c r="B170" i="12"/>
  <c r="T169" i="12"/>
  <c r="P169" i="12"/>
  <c r="X169" i="12" s="1"/>
  <c r="H169" i="12"/>
  <c r="F169" i="12"/>
  <c r="D169" i="12"/>
  <c r="L169" i="12" s="1"/>
  <c r="N169" i="12" s="1"/>
  <c r="B169" i="12"/>
  <c r="Z168" i="12"/>
  <c r="X168" i="12"/>
  <c r="L168" i="12"/>
  <c r="N168" i="12" s="1"/>
  <c r="B168" i="12"/>
  <c r="T167" i="12"/>
  <c r="P167" i="12"/>
  <c r="X167" i="12" s="1"/>
  <c r="Z167" i="12" s="1"/>
  <c r="N167" i="12"/>
  <c r="L167" i="12"/>
  <c r="H167" i="12"/>
  <c r="D167" i="12"/>
  <c r="B167" i="12"/>
  <c r="X166" i="12"/>
  <c r="Z166" i="12" s="1"/>
  <c r="N166" i="12"/>
  <c r="L166" i="12"/>
  <c r="B166" i="12"/>
  <c r="Z165" i="12"/>
  <c r="X165" i="12"/>
  <c r="T165" i="12"/>
  <c r="P165" i="12"/>
  <c r="H165" i="12"/>
  <c r="L165" i="12" s="1"/>
  <c r="N165" i="12" s="1"/>
  <c r="D165" i="12"/>
  <c r="B165" i="12"/>
  <c r="X164" i="12"/>
  <c r="Z164" i="12" s="1"/>
  <c r="N164" i="12"/>
  <c r="L164" i="12"/>
  <c r="B164" i="12"/>
  <c r="Z163" i="12"/>
  <c r="X163" i="12"/>
  <c r="N163" i="12"/>
  <c r="L163" i="12"/>
  <c r="B163" i="12"/>
  <c r="X162" i="12"/>
  <c r="T162" i="12"/>
  <c r="Z162" i="12" s="1"/>
  <c r="P162" i="12"/>
  <c r="H162" i="12"/>
  <c r="D162" i="12"/>
  <c r="B162" i="12"/>
  <c r="X161" i="12"/>
  <c r="Z161" i="12" s="1"/>
  <c r="N161" i="12"/>
  <c r="L161" i="12"/>
  <c r="B161" i="12"/>
  <c r="T160" i="12"/>
  <c r="P160" i="12"/>
  <c r="H160" i="12"/>
  <c r="D160" i="12"/>
  <c r="B160" i="12"/>
  <c r="Z159" i="12"/>
  <c r="X159" i="12"/>
  <c r="N159" i="12"/>
  <c r="L159" i="12"/>
  <c r="B159" i="12"/>
  <c r="T158" i="12"/>
  <c r="P158" i="12"/>
  <c r="X158" i="12" s="1"/>
  <c r="N158" i="12"/>
  <c r="H158" i="12"/>
  <c r="D158" i="12"/>
  <c r="L158" i="12" s="1"/>
  <c r="B158" i="12"/>
  <c r="Z157" i="12"/>
  <c r="X157" i="12"/>
  <c r="N157" i="12"/>
  <c r="L157" i="12"/>
  <c r="B157" i="12"/>
  <c r="Z156" i="12"/>
  <c r="T156" i="12"/>
  <c r="P156" i="12"/>
  <c r="X156" i="12" s="1"/>
  <c r="L156" i="12"/>
  <c r="H156" i="12"/>
  <c r="N156" i="12" s="1"/>
  <c r="D156" i="12"/>
  <c r="B156" i="12"/>
  <c r="Z155" i="12"/>
  <c r="X155" i="12"/>
  <c r="N155" i="12"/>
  <c r="L155" i="12"/>
  <c r="B155" i="12"/>
  <c r="Z154" i="12"/>
  <c r="X154" i="12"/>
  <c r="L154" i="12"/>
  <c r="N154" i="12" s="1"/>
  <c r="B154" i="12"/>
  <c r="Z153" i="12"/>
  <c r="X153" i="12"/>
  <c r="T153" i="12"/>
  <c r="P153" i="12"/>
  <c r="N153" i="12"/>
  <c r="H153" i="12"/>
  <c r="L153" i="12" s="1"/>
  <c r="D153" i="12"/>
  <c r="B153" i="12"/>
  <c r="X152" i="12"/>
  <c r="Z152" i="12" s="1"/>
  <c r="N152" i="12"/>
  <c r="L152" i="12"/>
  <c r="B152" i="12"/>
  <c r="Z151" i="12"/>
  <c r="X151" i="12"/>
  <c r="N151" i="12"/>
  <c r="L151" i="12"/>
  <c r="B151" i="12"/>
  <c r="X150" i="12"/>
  <c r="T150" i="12"/>
  <c r="P150" i="12"/>
  <c r="L150" i="12"/>
  <c r="H150" i="12"/>
  <c r="D150" i="12"/>
  <c r="B150" i="12"/>
  <c r="X149" i="12"/>
  <c r="Z149" i="12" s="1"/>
  <c r="N149" i="12"/>
  <c r="L149" i="12"/>
  <c r="B149" i="12"/>
  <c r="T148" i="12"/>
  <c r="P148" i="12"/>
  <c r="H148" i="12"/>
  <c r="D148" i="12"/>
  <c r="B148" i="12"/>
  <c r="Z147" i="12"/>
  <c r="X147" i="12"/>
  <c r="N147" i="12"/>
  <c r="L147" i="12"/>
  <c r="B147" i="12"/>
  <c r="T146" i="12"/>
  <c r="P146" i="12"/>
  <c r="H146" i="12"/>
  <c r="D146" i="12"/>
  <c r="L146" i="12" s="1"/>
  <c r="N146" i="12" s="1"/>
  <c r="B146" i="12"/>
  <c r="Z145" i="12"/>
  <c r="X145" i="12"/>
  <c r="L145" i="12"/>
  <c r="N145" i="12" s="1"/>
  <c r="B145" i="12"/>
  <c r="T144" i="12"/>
  <c r="P144" i="12"/>
  <c r="X144" i="12" s="1"/>
  <c r="Z144" i="12" s="1"/>
  <c r="L144" i="12"/>
  <c r="H144" i="12"/>
  <c r="N144" i="12" s="1"/>
  <c r="D144" i="12"/>
  <c r="B144" i="12"/>
  <c r="Z143" i="12"/>
  <c r="X143" i="12"/>
  <c r="N143" i="12"/>
  <c r="L143" i="12"/>
  <c r="B143" i="12"/>
  <c r="X142" i="12"/>
  <c r="Z142" i="12" s="1"/>
  <c r="L142" i="12"/>
  <c r="N142" i="12" s="1"/>
  <c r="B142" i="12"/>
  <c r="Z141" i="12"/>
  <c r="X141" i="12"/>
  <c r="L141" i="12"/>
  <c r="N141" i="12" s="1"/>
  <c r="B141" i="12"/>
  <c r="Z140" i="12"/>
  <c r="X140" i="12"/>
  <c r="L140" i="12"/>
  <c r="N140" i="12" s="1"/>
  <c r="B140" i="12"/>
  <c r="Z139" i="12"/>
  <c r="X139" i="12"/>
  <c r="N139" i="12"/>
  <c r="L139" i="12"/>
  <c r="B139" i="12"/>
  <c r="X138" i="12"/>
  <c r="Z138" i="12" s="1"/>
  <c r="L138" i="12"/>
  <c r="N138" i="12" s="1"/>
  <c r="B138" i="12"/>
  <c r="X137" i="12"/>
  <c r="Z137" i="12" s="1"/>
  <c r="N137" i="12"/>
  <c r="L137" i="12"/>
  <c r="B137" i="12"/>
  <c r="X136" i="12"/>
  <c r="T136" i="12"/>
  <c r="P136" i="12"/>
  <c r="H136" i="12"/>
  <c r="D136" i="12"/>
  <c r="L136" i="12" s="1"/>
  <c r="B136" i="12"/>
  <c r="Z135" i="12"/>
  <c r="X135" i="12"/>
  <c r="N135" i="12"/>
  <c r="L135" i="12"/>
  <c r="B135" i="12"/>
  <c r="X134" i="12"/>
  <c r="Z134" i="12" s="1"/>
  <c r="L134" i="12"/>
  <c r="N134" i="12" s="1"/>
  <c r="B134" i="12"/>
  <c r="X133" i="12"/>
  <c r="Z133" i="12" s="1"/>
  <c r="N133" i="12"/>
  <c r="L133" i="12"/>
  <c r="B133" i="12"/>
  <c r="X132" i="12"/>
  <c r="Z132" i="12" s="1"/>
  <c r="N132" i="12"/>
  <c r="L132" i="12"/>
  <c r="B132" i="12"/>
  <c r="Z131" i="12"/>
  <c r="X131" i="12"/>
  <c r="N131" i="12"/>
  <c r="L131" i="12"/>
  <c r="B131" i="12"/>
  <c r="X130" i="12"/>
  <c r="Z130" i="12" s="1"/>
  <c r="L130" i="12"/>
  <c r="N130" i="12" s="1"/>
  <c r="B130" i="12"/>
  <c r="Z129" i="12"/>
  <c r="X129" i="12"/>
  <c r="L129" i="12"/>
  <c r="N129" i="12" s="1"/>
  <c r="B129" i="12"/>
  <c r="Z128" i="12"/>
  <c r="X128" i="12"/>
  <c r="L128" i="12"/>
  <c r="N128" i="12" s="1"/>
  <c r="B128" i="12"/>
  <c r="Z127" i="12"/>
  <c r="X127" i="12"/>
  <c r="N127" i="12"/>
  <c r="L127" i="12"/>
  <c r="B127" i="12"/>
  <c r="X126" i="12"/>
  <c r="Z126" i="12" s="1"/>
  <c r="L126" i="12"/>
  <c r="N126" i="12" s="1"/>
  <c r="B126" i="12"/>
  <c r="T125" i="12"/>
  <c r="Z125" i="12" s="1"/>
  <c r="P125" i="12"/>
  <c r="X125" i="12" s="1"/>
  <c r="H125" i="12"/>
  <c r="D125" i="12"/>
  <c r="L125" i="12" s="1"/>
  <c r="N125" i="12" s="1"/>
  <c r="B125" i="12"/>
  <c r="T124" i="12"/>
  <c r="P124" i="12"/>
  <c r="X124" i="12" s="1"/>
  <c r="Z124" i="12" s="1"/>
  <c r="L124" i="12"/>
  <c r="H124" i="12"/>
  <c r="D124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X116" i="12"/>
  <c r="Z116" i="12" s="1"/>
  <c r="N116" i="12"/>
  <c r="L116" i="12"/>
  <c r="B116" i="12"/>
  <c r="Z115" i="12"/>
  <c r="X115" i="12"/>
  <c r="N115" i="12"/>
  <c r="L115" i="12"/>
  <c r="B115" i="12"/>
  <c r="X114" i="12"/>
  <c r="Z114" i="12" s="1"/>
  <c r="L114" i="12"/>
  <c r="N114" i="12" s="1"/>
  <c r="B114" i="12"/>
  <c r="Z113" i="12"/>
  <c r="X113" i="12"/>
  <c r="N113" i="12"/>
  <c r="L113" i="12"/>
  <c r="B113" i="12"/>
  <c r="Z112" i="12"/>
  <c r="X112" i="12"/>
  <c r="L112" i="12"/>
  <c r="N112" i="12" s="1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N109" i="12"/>
  <c r="L109" i="12"/>
  <c r="B109" i="12"/>
  <c r="X108" i="12"/>
  <c r="Z108" i="12" s="1"/>
  <c r="N108" i="12"/>
  <c r="L108" i="12"/>
  <c r="B108" i="12"/>
  <c r="Z107" i="12"/>
  <c r="X107" i="12"/>
  <c r="N107" i="12"/>
  <c r="L107" i="12"/>
  <c r="B107" i="12"/>
  <c r="Z106" i="12"/>
  <c r="X106" i="12"/>
  <c r="N106" i="12"/>
  <c r="L106" i="12"/>
  <c r="B106" i="12"/>
  <c r="Z105" i="12"/>
  <c r="X105" i="12"/>
  <c r="N105" i="12"/>
  <c r="L105" i="12"/>
  <c r="B105" i="12"/>
  <c r="Z104" i="12"/>
  <c r="X104" i="12"/>
  <c r="L104" i="12"/>
  <c r="N104" i="12" s="1"/>
  <c r="B104" i="12"/>
  <c r="Z103" i="12"/>
  <c r="X103" i="12"/>
  <c r="N103" i="12"/>
  <c r="L103" i="12"/>
  <c r="B103" i="12"/>
  <c r="X102" i="12"/>
  <c r="Z102" i="12" s="1"/>
  <c r="L102" i="12"/>
  <c r="N102" i="12" s="1"/>
  <c r="B102" i="12"/>
  <c r="Z101" i="12"/>
  <c r="X101" i="12"/>
  <c r="N101" i="12"/>
  <c r="L101" i="12"/>
  <c r="B101" i="12"/>
  <c r="X100" i="12"/>
  <c r="Z100" i="12" s="1"/>
  <c r="N100" i="12"/>
  <c r="L100" i="12"/>
  <c r="B100" i="12"/>
  <c r="Z99" i="12"/>
  <c r="X99" i="12"/>
  <c r="N99" i="12"/>
  <c r="L99" i="12"/>
  <c r="B99" i="12"/>
  <c r="X98" i="12"/>
  <c r="Z98" i="12" s="1"/>
  <c r="L98" i="12"/>
  <c r="N98" i="12" s="1"/>
  <c r="B98" i="12"/>
  <c r="Z97" i="12"/>
  <c r="X97" i="12"/>
  <c r="N97" i="12"/>
  <c r="L97" i="12"/>
  <c r="B97" i="12"/>
  <c r="Z96" i="12"/>
  <c r="X96" i="12"/>
  <c r="L96" i="12"/>
  <c r="N96" i="12" s="1"/>
  <c r="B96" i="12"/>
  <c r="Z95" i="12"/>
  <c r="X95" i="12"/>
  <c r="N95" i="12"/>
  <c r="L95" i="12"/>
  <c r="B95" i="12"/>
  <c r="X94" i="12"/>
  <c r="Z94" i="12" s="1"/>
  <c r="L94" i="12"/>
  <c r="N94" i="12" s="1"/>
  <c r="B94" i="12"/>
  <c r="Z93" i="12"/>
  <c r="X93" i="12"/>
  <c r="N93" i="12"/>
  <c r="L93" i="12"/>
  <c r="B93" i="12"/>
  <c r="X92" i="12"/>
  <c r="Z92" i="12" s="1"/>
  <c r="N92" i="12"/>
  <c r="L92" i="12"/>
  <c r="B92" i="12"/>
  <c r="Z91" i="12"/>
  <c r="X91" i="12"/>
  <c r="N91" i="12"/>
  <c r="L91" i="12"/>
  <c r="B91" i="12"/>
  <c r="X90" i="12"/>
  <c r="Z90" i="12" s="1"/>
  <c r="L90" i="12"/>
  <c r="N90" i="12" s="1"/>
  <c r="B90" i="12"/>
  <c r="Z89" i="12"/>
  <c r="X89" i="12"/>
  <c r="N89" i="12"/>
  <c r="L89" i="12"/>
  <c r="B89" i="12"/>
  <c r="Z88" i="12"/>
  <c r="X88" i="12"/>
  <c r="L88" i="12"/>
  <c r="N88" i="12" s="1"/>
  <c r="B88" i="12"/>
  <c r="Z87" i="12"/>
  <c r="X87" i="12"/>
  <c r="N87" i="12"/>
  <c r="L87" i="12"/>
  <c r="B87" i="12"/>
  <c r="X86" i="12"/>
  <c r="Z86" i="12" s="1"/>
  <c r="L86" i="12"/>
  <c r="N86" i="12" s="1"/>
  <c r="B86" i="12"/>
  <c r="Z85" i="12"/>
  <c r="X85" i="12"/>
  <c r="N85" i="12"/>
  <c r="L85" i="12"/>
  <c r="B85" i="12"/>
  <c r="X84" i="12"/>
  <c r="Z84" i="12" s="1"/>
  <c r="N84" i="12"/>
  <c r="L84" i="12"/>
  <c r="B84" i="12"/>
  <c r="Z83" i="12"/>
  <c r="X83" i="12"/>
  <c r="N83" i="12"/>
  <c r="L83" i="12"/>
  <c r="B83" i="12"/>
  <c r="Z82" i="12"/>
  <c r="X82" i="12"/>
  <c r="N82" i="12"/>
  <c r="L82" i="12"/>
  <c r="B82" i="12"/>
  <c r="Z81" i="12"/>
  <c r="X81" i="12"/>
  <c r="T81" i="12"/>
  <c r="P81" i="12"/>
  <c r="N81" i="12"/>
  <c r="H81" i="12"/>
  <c r="D81" i="12"/>
  <c r="L81" i="12" s="1"/>
  <c r="T79" i="12"/>
  <c r="P79" i="12"/>
  <c r="N79" i="12"/>
  <c r="L79" i="12"/>
  <c r="H79" i="12"/>
  <c r="D79" i="12"/>
  <c r="B79" i="12"/>
  <c r="X78" i="12"/>
  <c r="Z78" i="12" s="1"/>
  <c r="T78" i="12"/>
  <c r="P78" i="12"/>
  <c r="N78" i="12"/>
  <c r="L78" i="12"/>
  <c r="H78" i="12"/>
  <c r="D78" i="12"/>
  <c r="B78" i="12"/>
  <c r="Z77" i="12"/>
  <c r="T77" i="12"/>
  <c r="P77" i="12"/>
  <c r="X77" i="12" s="1"/>
  <c r="N77" i="12"/>
  <c r="H77" i="12"/>
  <c r="D77" i="12"/>
  <c r="L77" i="12" s="1"/>
  <c r="B77" i="12"/>
  <c r="X76" i="12"/>
  <c r="T76" i="12"/>
  <c r="P76" i="12"/>
  <c r="H76" i="12"/>
  <c r="D76" i="12"/>
  <c r="L76" i="12" s="1"/>
  <c r="B76" i="12"/>
  <c r="Z75" i="12"/>
  <c r="X75" i="12"/>
  <c r="T75" i="12"/>
  <c r="P75" i="12"/>
  <c r="H75" i="12"/>
  <c r="D75" i="12"/>
  <c r="B75" i="12"/>
  <c r="Z74" i="12"/>
  <c r="X74" i="12"/>
  <c r="T74" i="12"/>
  <c r="P74" i="12"/>
  <c r="L74" i="12"/>
  <c r="N74" i="12" s="1"/>
  <c r="H74" i="12"/>
  <c r="D74" i="12"/>
  <c r="B74" i="12"/>
  <c r="T73" i="12"/>
  <c r="P73" i="12"/>
  <c r="X73" i="12" s="1"/>
  <c r="Z73" i="12" s="1"/>
  <c r="H73" i="12"/>
  <c r="D73" i="12"/>
  <c r="B73" i="12"/>
  <c r="T72" i="12"/>
  <c r="Z72" i="12" s="1"/>
  <c r="P72" i="12"/>
  <c r="X72" i="12" s="1"/>
  <c r="L72" i="12"/>
  <c r="H72" i="12"/>
  <c r="N72" i="12" s="1"/>
  <c r="D72" i="12"/>
  <c r="B72" i="12"/>
  <c r="T71" i="12"/>
  <c r="P71" i="12"/>
  <c r="N71" i="12"/>
  <c r="L71" i="12"/>
  <c r="H71" i="12"/>
  <c r="D71" i="12"/>
  <c r="B71" i="12"/>
  <c r="X70" i="12"/>
  <c r="Z70" i="12" s="1"/>
  <c r="T70" i="12"/>
  <c r="P70" i="12"/>
  <c r="N70" i="12"/>
  <c r="L70" i="12"/>
  <c r="H70" i="12"/>
  <c r="D70" i="12"/>
  <c r="B70" i="12"/>
  <c r="T69" i="12"/>
  <c r="P69" i="12"/>
  <c r="H69" i="12"/>
  <c r="D69" i="12"/>
  <c r="L69" i="12" s="1"/>
  <c r="N69" i="12" s="1"/>
  <c r="B69" i="12"/>
  <c r="X68" i="12"/>
  <c r="T68" i="12"/>
  <c r="P68" i="12"/>
  <c r="H68" i="12"/>
  <c r="N68" i="12" s="1"/>
  <c r="D68" i="12"/>
  <c r="L68" i="12" s="1"/>
  <c r="B68" i="12"/>
  <c r="Z67" i="12"/>
  <c r="X67" i="12"/>
  <c r="T67" i="12"/>
  <c r="P67" i="12"/>
  <c r="H67" i="12"/>
  <c r="D67" i="12"/>
  <c r="B67" i="12"/>
  <c r="Z66" i="12"/>
  <c r="X66" i="12"/>
  <c r="T66" i="12"/>
  <c r="P66" i="12"/>
  <c r="H66" i="12"/>
  <c r="D66" i="12"/>
  <c r="L66" i="12" s="1"/>
  <c r="N66" i="12" s="1"/>
  <c r="B66" i="12"/>
  <c r="T65" i="12"/>
  <c r="P65" i="12"/>
  <c r="X65" i="12" s="1"/>
  <c r="Z65" i="12" s="1"/>
  <c r="H65" i="12"/>
  <c r="N65" i="12" s="1"/>
  <c r="D65" i="12"/>
  <c r="B65" i="12"/>
  <c r="T64" i="12"/>
  <c r="Z64" i="12" s="1"/>
  <c r="P64" i="12"/>
  <c r="X64" i="12" s="1"/>
  <c r="L64" i="12"/>
  <c r="H64" i="12"/>
  <c r="N64" i="12" s="1"/>
  <c r="D64" i="12"/>
  <c r="B64" i="12"/>
  <c r="T63" i="12"/>
  <c r="P63" i="12"/>
  <c r="N63" i="12"/>
  <c r="L63" i="12"/>
  <c r="H63" i="12"/>
  <c r="D63" i="12"/>
  <c r="B63" i="12"/>
  <c r="X62" i="12"/>
  <c r="Z62" i="12" s="1"/>
  <c r="T62" i="12"/>
  <c r="P62" i="12"/>
  <c r="N62" i="12"/>
  <c r="L62" i="12"/>
  <c r="H62" i="12"/>
  <c r="D62" i="12"/>
  <c r="B62" i="12"/>
  <c r="Z61" i="12"/>
  <c r="T61" i="12"/>
  <c r="P61" i="12"/>
  <c r="X61" i="12" s="1"/>
  <c r="H61" i="12"/>
  <c r="D61" i="12"/>
  <c r="L61" i="12" s="1"/>
  <c r="N61" i="12" s="1"/>
  <c r="B61" i="12"/>
  <c r="X60" i="12"/>
  <c r="T60" i="12"/>
  <c r="P60" i="12"/>
  <c r="H60" i="12"/>
  <c r="D60" i="12"/>
  <c r="L60" i="12" s="1"/>
  <c r="B60" i="12"/>
  <c r="Z59" i="12"/>
  <c r="X59" i="12"/>
  <c r="T59" i="12"/>
  <c r="P59" i="12"/>
  <c r="H59" i="12"/>
  <c r="D59" i="12"/>
  <c r="B59" i="12"/>
  <c r="Z58" i="12"/>
  <c r="X58" i="12"/>
  <c r="T58" i="12"/>
  <c r="P58" i="12"/>
  <c r="N58" i="12"/>
  <c r="L58" i="12"/>
  <c r="H58" i="12"/>
  <c r="D58" i="12"/>
  <c r="B58" i="12"/>
  <c r="T57" i="12"/>
  <c r="P57" i="12"/>
  <c r="X57" i="12" s="1"/>
  <c r="Z57" i="12" s="1"/>
  <c r="H57" i="12"/>
  <c r="D57" i="12"/>
  <c r="L57" i="12" s="1"/>
  <c r="N57" i="12" s="1"/>
  <c r="B57" i="12"/>
  <c r="T56" i="12"/>
  <c r="Z56" i="12" s="1"/>
  <c r="P56" i="12"/>
  <c r="X56" i="12" s="1"/>
  <c r="L56" i="12"/>
  <c r="H56" i="12"/>
  <c r="N56" i="12" s="1"/>
  <c r="D56" i="12"/>
  <c r="B56" i="12"/>
  <c r="T55" i="12"/>
  <c r="P55" i="12"/>
  <c r="N55" i="12"/>
  <c r="L55" i="12"/>
  <c r="H55" i="12"/>
  <c r="D55" i="12"/>
  <c r="B55" i="12"/>
  <c r="X54" i="12"/>
  <c r="Z54" i="12" s="1"/>
  <c r="T54" i="12"/>
  <c r="P54" i="12"/>
  <c r="N54" i="12"/>
  <c r="L54" i="12"/>
  <c r="H54" i="12"/>
  <c r="D54" i="12"/>
  <c r="B54" i="12"/>
  <c r="T53" i="12"/>
  <c r="P53" i="12"/>
  <c r="H53" i="12"/>
  <c r="D53" i="12"/>
  <c r="L53" i="12" s="1"/>
  <c r="N53" i="12" s="1"/>
  <c r="B53" i="12"/>
  <c r="X52" i="12"/>
  <c r="T52" i="12"/>
  <c r="Z52" i="12" s="1"/>
  <c r="P52" i="12"/>
  <c r="H52" i="12"/>
  <c r="N52" i="12" s="1"/>
  <c r="D52" i="12"/>
  <c r="L52" i="12" s="1"/>
  <c r="B52" i="12"/>
  <c r="Z51" i="12"/>
  <c r="X51" i="12"/>
  <c r="T51" i="12"/>
  <c r="P51" i="12"/>
  <c r="H51" i="12"/>
  <c r="D51" i="12"/>
  <c r="B51" i="12"/>
  <c r="Z50" i="12"/>
  <c r="X50" i="12"/>
  <c r="T50" i="12"/>
  <c r="P50" i="12"/>
  <c r="H50" i="12"/>
  <c r="D50" i="12"/>
  <c r="L50" i="12" s="1"/>
  <c r="N50" i="12" s="1"/>
  <c r="B50" i="12"/>
  <c r="T49" i="12"/>
  <c r="P49" i="12"/>
  <c r="X49" i="12" s="1"/>
  <c r="Z49" i="12" s="1"/>
  <c r="H49" i="12"/>
  <c r="N49" i="12" s="1"/>
  <c r="D49" i="12"/>
  <c r="L49" i="12" s="1"/>
  <c r="B49" i="12"/>
  <c r="T48" i="12"/>
  <c r="Z48" i="12" s="1"/>
  <c r="P48" i="12"/>
  <c r="X48" i="12" s="1"/>
  <c r="L48" i="12"/>
  <c r="H48" i="12"/>
  <c r="N48" i="12" s="1"/>
  <c r="D48" i="12"/>
  <c r="B48" i="12"/>
  <c r="T47" i="12"/>
  <c r="P47" i="12"/>
  <c r="N47" i="12"/>
  <c r="L47" i="12"/>
  <c r="H47" i="12"/>
  <c r="D47" i="12"/>
  <c r="B47" i="12"/>
  <c r="T46" i="12"/>
  <c r="P46" i="12"/>
  <c r="X46" i="12" s="1"/>
  <c r="Z46" i="12" s="1"/>
  <c r="N46" i="12"/>
  <c r="L46" i="12"/>
  <c r="H46" i="12"/>
  <c r="D46" i="12"/>
  <c r="B46" i="12"/>
  <c r="T45" i="12"/>
  <c r="P45" i="12"/>
  <c r="H45" i="12"/>
  <c r="D45" i="12"/>
  <c r="L45" i="12" s="1"/>
  <c r="N45" i="12" s="1"/>
  <c r="B45" i="12"/>
  <c r="X44" i="12"/>
  <c r="T44" i="12"/>
  <c r="P44" i="12"/>
  <c r="H44" i="12"/>
  <c r="N44" i="12" s="1"/>
  <c r="D44" i="12"/>
  <c r="L44" i="12" s="1"/>
  <c r="B44" i="12"/>
  <c r="Z43" i="12"/>
  <c r="X43" i="12"/>
  <c r="T43" i="12"/>
  <c r="P43" i="12"/>
  <c r="H43" i="12"/>
  <c r="D43" i="12"/>
  <c r="B43" i="12"/>
  <c r="Z42" i="12"/>
  <c r="X42" i="12"/>
  <c r="T42" i="12"/>
  <c r="P42" i="12"/>
  <c r="H42" i="12"/>
  <c r="D42" i="12"/>
  <c r="L42" i="12" s="1"/>
  <c r="N42" i="12" s="1"/>
  <c r="B42" i="12"/>
  <c r="T41" i="12"/>
  <c r="P41" i="12"/>
  <c r="X41" i="12" s="1"/>
  <c r="Z41" i="12" s="1"/>
  <c r="H41" i="12"/>
  <c r="D41" i="12"/>
  <c r="B41" i="12"/>
  <c r="T40" i="12"/>
  <c r="Z40" i="12" s="1"/>
  <c r="P40" i="12"/>
  <c r="X40" i="12" s="1"/>
  <c r="L40" i="12"/>
  <c r="H40" i="12"/>
  <c r="D40" i="12"/>
  <c r="B40" i="12"/>
  <c r="T39" i="12"/>
  <c r="P39" i="12"/>
  <c r="N39" i="12"/>
  <c r="L39" i="12"/>
  <c r="H39" i="12"/>
  <c r="D39" i="12"/>
  <c r="B39" i="12"/>
  <c r="X38" i="12"/>
  <c r="Z38" i="12" s="1"/>
  <c r="T38" i="12"/>
  <c r="P38" i="12"/>
  <c r="N38" i="12"/>
  <c r="L38" i="12"/>
  <c r="H38" i="12"/>
  <c r="D38" i="12"/>
  <c r="B38" i="12"/>
  <c r="T37" i="12"/>
  <c r="P37" i="12"/>
  <c r="H37" i="12"/>
  <c r="D37" i="12"/>
  <c r="L37" i="12" s="1"/>
  <c r="N37" i="12" s="1"/>
  <c r="B37" i="12"/>
  <c r="X36" i="12"/>
  <c r="T36" i="12"/>
  <c r="Z36" i="12" s="1"/>
  <c r="P36" i="12"/>
  <c r="H36" i="12"/>
  <c r="N36" i="12" s="1"/>
  <c r="D36" i="12"/>
  <c r="L36" i="12" s="1"/>
  <c r="B36" i="12"/>
  <c r="Z35" i="12"/>
  <c r="X35" i="12"/>
  <c r="T35" i="12"/>
  <c r="P35" i="12"/>
  <c r="H35" i="12"/>
  <c r="D35" i="12"/>
  <c r="B35" i="12"/>
  <c r="Z34" i="12"/>
  <c r="X34" i="12"/>
  <c r="T34" i="12"/>
  <c r="P34" i="12"/>
  <c r="N34" i="12"/>
  <c r="L34" i="12"/>
  <c r="H34" i="12"/>
  <c r="D34" i="12"/>
  <c r="B34" i="12"/>
  <c r="Z33" i="12"/>
  <c r="T33" i="12"/>
  <c r="P33" i="12"/>
  <c r="X33" i="12" s="1"/>
  <c r="N33" i="12"/>
  <c r="H33" i="12"/>
  <c r="D33" i="12"/>
  <c r="B33" i="12"/>
  <c r="T32" i="12"/>
  <c r="Z32" i="12" s="1"/>
  <c r="P32" i="12"/>
  <c r="X32" i="12" s="1"/>
  <c r="L32" i="12"/>
  <c r="H32" i="12"/>
  <c r="D32" i="12"/>
  <c r="B32" i="12"/>
  <c r="T31" i="12"/>
  <c r="P31" i="12"/>
  <c r="N31" i="12"/>
  <c r="L31" i="12"/>
  <c r="H31" i="12"/>
  <c r="D31" i="12"/>
  <c r="B31" i="12"/>
  <c r="X30" i="12"/>
  <c r="Z30" i="12" s="1"/>
  <c r="T30" i="12"/>
  <c r="P30" i="12"/>
  <c r="N30" i="12"/>
  <c r="L30" i="12"/>
  <c r="H30" i="12"/>
  <c r="D30" i="12"/>
  <c r="B30" i="12"/>
  <c r="Z29" i="12"/>
  <c r="T29" i="12"/>
  <c r="P29" i="12"/>
  <c r="X29" i="12" s="1"/>
  <c r="H29" i="12"/>
  <c r="D29" i="12"/>
  <c r="L29" i="12" s="1"/>
  <c r="N29" i="12" s="1"/>
  <c r="B29" i="12"/>
  <c r="T28" i="12"/>
  <c r="P28" i="12"/>
  <c r="H28" i="12"/>
  <c r="D28" i="12"/>
  <c r="L28" i="12" s="1"/>
  <c r="B28" i="12"/>
  <c r="X27" i="12"/>
  <c r="Z27" i="12" s="1"/>
  <c r="T27" i="12"/>
  <c r="P27" i="12"/>
  <c r="H27" i="12"/>
  <c r="D27" i="12"/>
  <c r="B27" i="12"/>
  <c r="Z26" i="12"/>
  <c r="X26" i="12"/>
  <c r="T26" i="12"/>
  <c r="P26" i="12"/>
  <c r="N26" i="12"/>
  <c r="L26" i="12"/>
  <c r="H26" i="12"/>
  <c r="D26" i="12"/>
  <c r="B26" i="12"/>
  <c r="T25" i="12"/>
  <c r="P25" i="12"/>
  <c r="X25" i="12" s="1"/>
  <c r="Z25" i="12" s="1"/>
  <c r="H25" i="12"/>
  <c r="N25" i="12" s="1"/>
  <c r="D25" i="12"/>
  <c r="B25" i="12"/>
  <c r="T24" i="12"/>
  <c r="P24" i="12"/>
  <c r="X24" i="12" s="1"/>
  <c r="H24" i="12"/>
  <c r="D24" i="12"/>
  <c r="B24" i="12"/>
  <c r="T23" i="12"/>
  <c r="P23" i="12"/>
  <c r="L23" i="12"/>
  <c r="N23" i="12" s="1"/>
  <c r="H23" i="12"/>
  <c r="D23" i="12"/>
  <c r="B23" i="12"/>
  <c r="X22" i="12"/>
  <c r="Z22" i="12" s="1"/>
  <c r="T22" i="12"/>
  <c r="P22" i="12"/>
  <c r="N22" i="12"/>
  <c r="L22" i="12"/>
  <c r="H22" i="12"/>
  <c r="D22" i="12"/>
  <c r="B22" i="12"/>
  <c r="T21" i="12"/>
  <c r="P21" i="12"/>
  <c r="H21" i="12"/>
  <c r="D21" i="12"/>
  <c r="L21" i="12" s="1"/>
  <c r="N21" i="12" s="1"/>
  <c r="B21" i="12"/>
  <c r="X20" i="12"/>
  <c r="T20" i="12"/>
  <c r="P20" i="12"/>
  <c r="H20" i="12"/>
  <c r="N20" i="12" s="1"/>
  <c r="D20" i="12"/>
  <c r="L20" i="12" s="1"/>
  <c r="B20" i="12"/>
  <c r="Z19" i="12"/>
  <c r="X19" i="12"/>
  <c r="T19" i="12"/>
  <c r="P19" i="12"/>
  <c r="H19" i="12"/>
  <c r="D19" i="12"/>
  <c r="B19" i="12"/>
  <c r="Z18" i="12"/>
  <c r="X18" i="12"/>
  <c r="T18" i="12"/>
  <c r="P18" i="12"/>
  <c r="H18" i="12"/>
  <c r="D18" i="12"/>
  <c r="L18" i="12" s="1"/>
  <c r="N18" i="12" s="1"/>
  <c r="B18" i="12"/>
  <c r="T17" i="12"/>
  <c r="P17" i="12"/>
  <c r="X17" i="12" s="1"/>
  <c r="Z17" i="12" s="1"/>
  <c r="H17" i="12"/>
  <c r="D17" i="12"/>
  <c r="B17" i="12"/>
  <c r="T16" i="12"/>
  <c r="Z16" i="12" s="1"/>
  <c r="P16" i="12"/>
  <c r="X16" i="12" s="1"/>
  <c r="H16" i="12"/>
  <c r="D16" i="12"/>
  <c r="B16" i="12"/>
  <c r="T15" i="12"/>
  <c r="P15" i="12"/>
  <c r="N15" i="12"/>
  <c r="L15" i="12"/>
  <c r="H15" i="12"/>
  <c r="D15" i="12"/>
  <c r="B15" i="12"/>
  <c r="X14" i="12"/>
  <c r="Z14" i="12" s="1"/>
  <c r="T14" i="12"/>
  <c r="P14" i="12"/>
  <c r="N14" i="12"/>
  <c r="L14" i="12"/>
  <c r="H14" i="12"/>
  <c r="D14" i="12"/>
  <c r="B14" i="12"/>
  <c r="T13" i="12"/>
  <c r="P13" i="12"/>
  <c r="H13" i="12"/>
  <c r="D13" i="12"/>
  <c r="L13" i="12" s="1"/>
  <c r="N13" i="12" s="1"/>
  <c r="B13" i="12"/>
  <c r="D12" i="12"/>
  <c r="F130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4" i="11" s="1"/>
  <c r="P12" i="11"/>
  <c r="R16" i="11" s="1"/>
  <c r="H12" i="11"/>
  <c r="D12" i="11"/>
  <c r="F34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P20" i="10"/>
  <c r="H20" i="10"/>
  <c r="N20" i="10" s="1"/>
  <c r="D20" i="10"/>
  <c r="T16" i="10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1" i="10" s="1"/>
  <c r="P12" i="10"/>
  <c r="R34" i="10" s="1"/>
  <c r="H12" i="10"/>
  <c r="J21" i="10" s="1"/>
  <c r="D12" i="10"/>
  <c r="F31" i="10" s="1"/>
  <c r="D5" i="10"/>
  <c r="D4" i="10"/>
  <c r="Z89" i="9"/>
  <c r="X89" i="9"/>
  <c r="N89" i="9"/>
  <c r="L89" i="9"/>
  <c r="R87" i="9"/>
  <c r="Z85" i="9"/>
  <c r="X85" i="9"/>
  <c r="V85" i="9"/>
  <c r="T85" i="9"/>
  <c r="P85" i="9"/>
  <c r="H85" i="9"/>
  <c r="N85" i="9" s="1"/>
  <c r="D85" i="9"/>
  <c r="L85" i="9" s="1"/>
  <c r="Z83" i="9"/>
  <c r="X83" i="9"/>
  <c r="L83" i="9"/>
  <c r="N83" i="9" s="1"/>
  <c r="B83" i="9"/>
  <c r="T82" i="9"/>
  <c r="P82" i="9"/>
  <c r="L82" i="9"/>
  <c r="N82" i="9" s="1"/>
  <c r="H82" i="9"/>
  <c r="F82" i="9"/>
  <c r="D82" i="9"/>
  <c r="B82" i="9"/>
  <c r="Z81" i="9"/>
  <c r="X81" i="9"/>
  <c r="L81" i="9"/>
  <c r="N81" i="9" s="1"/>
  <c r="F81" i="9"/>
  <c r="B81" i="9"/>
  <c r="T80" i="9"/>
  <c r="P80" i="9"/>
  <c r="X80" i="9" s="1"/>
  <c r="Z80" i="9" s="1"/>
  <c r="N80" i="9"/>
  <c r="H80" i="9"/>
  <c r="L80" i="9" s="1"/>
  <c r="D80" i="9"/>
  <c r="B80" i="9"/>
  <c r="X79" i="9"/>
  <c r="Z79" i="9" s="1"/>
  <c r="N79" i="9"/>
  <c r="L79" i="9"/>
  <c r="B79" i="9"/>
  <c r="Z78" i="9"/>
  <c r="X78" i="9"/>
  <c r="N78" i="9"/>
  <c r="L78" i="9"/>
  <c r="B78" i="9"/>
  <c r="T77" i="9"/>
  <c r="P77" i="9"/>
  <c r="X77" i="9" s="1"/>
  <c r="Z77" i="9" s="1"/>
  <c r="L77" i="9"/>
  <c r="H77" i="9"/>
  <c r="N77" i="9" s="1"/>
  <c r="D77" i="9"/>
  <c r="B77" i="9"/>
  <c r="Z76" i="9"/>
  <c r="X76" i="9"/>
  <c r="V76" i="9"/>
  <c r="N76" i="9"/>
  <c r="L76" i="9"/>
  <c r="B76" i="9"/>
  <c r="X75" i="9"/>
  <c r="Z75" i="9" s="1"/>
  <c r="N75" i="9"/>
  <c r="L75" i="9"/>
  <c r="B75" i="9"/>
  <c r="Z74" i="9"/>
  <c r="X74" i="9"/>
  <c r="N74" i="9"/>
  <c r="L74" i="9"/>
  <c r="B74" i="9"/>
  <c r="X73" i="9"/>
  <c r="Z73" i="9" s="1"/>
  <c r="N73" i="9"/>
  <c r="L73" i="9"/>
  <c r="F73" i="9"/>
  <c r="B73" i="9"/>
  <c r="Z72" i="9"/>
  <c r="X72" i="9"/>
  <c r="N72" i="9"/>
  <c r="L72" i="9"/>
  <c r="J72" i="9"/>
  <c r="B72" i="9"/>
  <c r="T71" i="9"/>
  <c r="P71" i="9"/>
  <c r="X71" i="9" s="1"/>
  <c r="H71" i="9"/>
  <c r="D71" i="9"/>
  <c r="L71" i="9" s="1"/>
  <c r="N71" i="9" s="1"/>
  <c r="B71" i="9"/>
  <c r="Z70" i="9"/>
  <c r="X70" i="9"/>
  <c r="N70" i="9"/>
  <c r="L70" i="9"/>
  <c r="B70" i="9"/>
  <c r="T69" i="9"/>
  <c r="P69" i="9"/>
  <c r="X69" i="9" s="1"/>
  <c r="Z69" i="9" s="1"/>
  <c r="L69" i="9"/>
  <c r="H69" i="9"/>
  <c r="D69" i="9"/>
  <c r="B69" i="9"/>
  <c r="Z68" i="9"/>
  <c r="X68" i="9"/>
  <c r="V68" i="9"/>
  <c r="N68" i="9"/>
  <c r="L68" i="9"/>
  <c r="B68" i="9"/>
  <c r="X67" i="9"/>
  <c r="T67" i="9"/>
  <c r="Z67" i="9" s="1"/>
  <c r="P67" i="9"/>
  <c r="H67" i="9"/>
  <c r="D67" i="9"/>
  <c r="B67" i="9"/>
  <c r="Z66" i="9"/>
  <c r="X66" i="9"/>
  <c r="N66" i="9"/>
  <c r="L66" i="9"/>
  <c r="B66" i="9"/>
  <c r="X65" i="9"/>
  <c r="Z65" i="9" s="1"/>
  <c r="R65" i="9"/>
  <c r="L65" i="9"/>
  <c r="N65" i="9" s="1"/>
  <c r="B65" i="9"/>
  <c r="Z64" i="9"/>
  <c r="X64" i="9"/>
  <c r="V64" i="9"/>
  <c r="N64" i="9"/>
  <c r="L64" i="9"/>
  <c r="B64" i="9"/>
  <c r="X63" i="9"/>
  <c r="Z63" i="9" s="1"/>
  <c r="N63" i="9"/>
  <c r="L63" i="9"/>
  <c r="B63" i="9"/>
  <c r="T62" i="9"/>
  <c r="X62" i="9" s="1"/>
  <c r="Z62" i="9" s="1"/>
  <c r="P62" i="9"/>
  <c r="N62" i="9"/>
  <c r="L62" i="9"/>
  <c r="J62" i="9"/>
  <c r="H62" i="9"/>
  <c r="D62" i="9"/>
  <c r="B62" i="9"/>
  <c r="X61" i="9"/>
  <c r="Z61" i="9" s="1"/>
  <c r="R61" i="9"/>
  <c r="L61" i="9"/>
  <c r="N61" i="9" s="1"/>
  <c r="B61" i="9"/>
  <c r="Z60" i="9"/>
  <c r="X60" i="9"/>
  <c r="V60" i="9"/>
  <c r="N60" i="9"/>
  <c r="L60" i="9"/>
  <c r="B60" i="9"/>
  <c r="X59" i="9"/>
  <c r="Z59" i="9" s="1"/>
  <c r="N59" i="9"/>
  <c r="L59" i="9"/>
  <c r="B59" i="9"/>
  <c r="T58" i="9"/>
  <c r="X58" i="9" s="1"/>
  <c r="Z58" i="9" s="1"/>
  <c r="P58" i="9"/>
  <c r="N58" i="9"/>
  <c r="L58" i="9"/>
  <c r="J58" i="9"/>
  <c r="H58" i="9"/>
  <c r="D58" i="9"/>
  <c r="B58" i="9"/>
  <c r="X57" i="9"/>
  <c r="Z57" i="9" s="1"/>
  <c r="R57" i="9"/>
  <c r="L57" i="9"/>
  <c r="N57" i="9" s="1"/>
  <c r="B57" i="9"/>
  <c r="Z56" i="9"/>
  <c r="X56" i="9"/>
  <c r="V56" i="9"/>
  <c r="T56" i="9"/>
  <c r="P56" i="9"/>
  <c r="H56" i="9"/>
  <c r="N56" i="9" s="1"/>
  <c r="F56" i="9"/>
  <c r="D56" i="9"/>
  <c r="L56" i="9" s="1"/>
  <c r="B56" i="9"/>
  <c r="Z55" i="9"/>
  <c r="X55" i="9"/>
  <c r="N55" i="9"/>
  <c r="L55" i="9"/>
  <c r="B55" i="9"/>
  <c r="T54" i="9"/>
  <c r="R54" i="9"/>
  <c r="P54" i="9"/>
  <c r="X54" i="9" s="1"/>
  <c r="N54" i="9"/>
  <c r="H54" i="9"/>
  <c r="D54" i="9"/>
  <c r="L54" i="9" s="1"/>
  <c r="B54" i="9"/>
  <c r="X53" i="9"/>
  <c r="Z53" i="9" s="1"/>
  <c r="L53" i="9"/>
  <c r="N53" i="9" s="1"/>
  <c r="F53" i="9"/>
  <c r="B53" i="9"/>
  <c r="Z52" i="9"/>
  <c r="X52" i="9"/>
  <c r="N52" i="9"/>
  <c r="L52" i="9"/>
  <c r="J52" i="9"/>
  <c r="B52" i="9"/>
  <c r="T51" i="9"/>
  <c r="P51" i="9"/>
  <c r="X51" i="9" s="1"/>
  <c r="H51" i="9"/>
  <c r="D51" i="9"/>
  <c r="L51" i="9" s="1"/>
  <c r="N51" i="9" s="1"/>
  <c r="B51" i="9"/>
  <c r="Z50" i="9"/>
  <c r="X50" i="9"/>
  <c r="L50" i="9"/>
  <c r="N50" i="9" s="1"/>
  <c r="B50" i="9"/>
  <c r="T49" i="9"/>
  <c r="P49" i="9"/>
  <c r="X49" i="9" s="1"/>
  <c r="Z49" i="9" s="1"/>
  <c r="L49" i="9"/>
  <c r="H49" i="9"/>
  <c r="N49" i="9" s="1"/>
  <c r="D49" i="9"/>
  <c r="B49" i="9"/>
  <c r="Z48" i="9"/>
  <c r="X48" i="9"/>
  <c r="V48" i="9"/>
  <c r="N48" i="9"/>
  <c r="L48" i="9"/>
  <c r="B48" i="9"/>
  <c r="X47" i="9"/>
  <c r="T47" i="9"/>
  <c r="Z47" i="9" s="1"/>
  <c r="P47" i="9"/>
  <c r="H47" i="9"/>
  <c r="D47" i="9"/>
  <c r="B47" i="9"/>
  <c r="X46" i="9"/>
  <c r="Z46" i="9" s="1"/>
  <c r="N46" i="9"/>
  <c r="L46" i="9"/>
  <c r="B46" i="9"/>
  <c r="T45" i="9"/>
  <c r="P45" i="9"/>
  <c r="H45" i="9"/>
  <c r="N45" i="9" s="1"/>
  <c r="D45" i="9"/>
  <c r="L45" i="9" s="1"/>
  <c r="B45" i="9"/>
  <c r="Z44" i="9"/>
  <c r="X44" i="9"/>
  <c r="N44" i="9"/>
  <c r="L44" i="9"/>
  <c r="J44" i="9"/>
  <c r="B44" i="9"/>
  <c r="T43" i="9"/>
  <c r="Z43" i="9" s="1"/>
  <c r="P43" i="9"/>
  <c r="X43" i="9" s="1"/>
  <c r="H43" i="9"/>
  <c r="D43" i="9"/>
  <c r="L43" i="9" s="1"/>
  <c r="N43" i="9" s="1"/>
  <c r="B43" i="9"/>
  <c r="Z42" i="9"/>
  <c r="X42" i="9"/>
  <c r="L42" i="9"/>
  <c r="N42" i="9" s="1"/>
  <c r="B42" i="9"/>
  <c r="T41" i="9"/>
  <c r="P41" i="9"/>
  <c r="X41" i="9" s="1"/>
  <c r="Z41" i="9" s="1"/>
  <c r="L41" i="9"/>
  <c r="H41" i="9"/>
  <c r="N41" i="9" s="1"/>
  <c r="D41" i="9"/>
  <c r="B41" i="9"/>
  <c r="Z40" i="9"/>
  <c r="X40" i="9"/>
  <c r="V40" i="9"/>
  <c r="N40" i="9"/>
  <c r="L40" i="9"/>
  <c r="B40" i="9"/>
  <c r="X39" i="9"/>
  <c r="T39" i="9"/>
  <c r="P39" i="9"/>
  <c r="H39" i="9"/>
  <c r="D39" i="9"/>
  <c r="B39" i="9"/>
  <c r="X38" i="9"/>
  <c r="Z38" i="9" s="1"/>
  <c r="N38" i="9"/>
  <c r="L38" i="9"/>
  <c r="B38" i="9"/>
  <c r="T37" i="9"/>
  <c r="P37" i="9"/>
  <c r="H37" i="9"/>
  <c r="D37" i="9"/>
  <c r="L37" i="9" s="1"/>
  <c r="B37" i="9"/>
  <c r="Z36" i="9"/>
  <c r="X36" i="9"/>
  <c r="N36" i="9"/>
  <c r="L36" i="9"/>
  <c r="J36" i="9"/>
  <c r="B36" i="9"/>
  <c r="Z35" i="9"/>
  <c r="X35" i="9"/>
  <c r="R35" i="9"/>
  <c r="L35" i="9"/>
  <c r="N35" i="9" s="1"/>
  <c r="B35" i="9"/>
  <c r="Z34" i="9"/>
  <c r="X34" i="9"/>
  <c r="N34" i="9"/>
  <c r="L34" i="9"/>
  <c r="B34" i="9"/>
  <c r="X33" i="9"/>
  <c r="Z33" i="9" s="1"/>
  <c r="R33" i="9"/>
  <c r="L33" i="9"/>
  <c r="N33" i="9" s="1"/>
  <c r="B33" i="9"/>
  <c r="Z32" i="9"/>
  <c r="X32" i="9"/>
  <c r="V32" i="9"/>
  <c r="N32" i="9"/>
  <c r="L32" i="9"/>
  <c r="B32" i="9"/>
  <c r="X31" i="9"/>
  <c r="Z31" i="9" s="1"/>
  <c r="R31" i="9"/>
  <c r="N31" i="9"/>
  <c r="L31" i="9"/>
  <c r="B31" i="9"/>
  <c r="T30" i="9"/>
  <c r="X30" i="9" s="1"/>
  <c r="Z30" i="9" s="1"/>
  <c r="P30" i="9"/>
  <c r="N30" i="9"/>
  <c r="L30" i="9"/>
  <c r="J30" i="9"/>
  <c r="H30" i="9"/>
  <c r="D30" i="9"/>
  <c r="B30" i="9"/>
  <c r="X29" i="9"/>
  <c r="Z29" i="9" s="1"/>
  <c r="R29" i="9"/>
  <c r="L29" i="9"/>
  <c r="N29" i="9" s="1"/>
  <c r="B29" i="9"/>
  <c r="Z28" i="9"/>
  <c r="X28" i="9"/>
  <c r="V28" i="9"/>
  <c r="N28" i="9"/>
  <c r="L28" i="9"/>
  <c r="B28" i="9"/>
  <c r="X27" i="9"/>
  <c r="Z27" i="9" s="1"/>
  <c r="R27" i="9"/>
  <c r="N27" i="9"/>
  <c r="L27" i="9"/>
  <c r="B27" i="9"/>
  <c r="Z26" i="9"/>
  <c r="X26" i="9"/>
  <c r="N26" i="9"/>
  <c r="L26" i="9"/>
  <c r="B26" i="9"/>
  <c r="X25" i="9"/>
  <c r="Z25" i="9" s="1"/>
  <c r="L25" i="9"/>
  <c r="N25" i="9" s="1"/>
  <c r="F25" i="9"/>
  <c r="B25" i="9"/>
  <c r="Z24" i="9"/>
  <c r="X24" i="9"/>
  <c r="N24" i="9"/>
  <c r="L24" i="9"/>
  <c r="J24" i="9"/>
  <c r="B24" i="9"/>
  <c r="Z23" i="9"/>
  <c r="X23" i="9"/>
  <c r="R23" i="9"/>
  <c r="L23" i="9"/>
  <c r="N23" i="9" s="1"/>
  <c r="B23" i="9"/>
  <c r="Z22" i="9"/>
  <c r="X22" i="9"/>
  <c r="V22" i="9"/>
  <c r="R22" i="9"/>
  <c r="N22" i="9"/>
  <c r="L22" i="9"/>
  <c r="B22" i="9"/>
  <c r="X21" i="9"/>
  <c r="Z21" i="9" s="1"/>
  <c r="R21" i="9"/>
  <c r="L21" i="9"/>
  <c r="N21" i="9" s="1"/>
  <c r="B21" i="9"/>
  <c r="Z20" i="9"/>
  <c r="X20" i="9"/>
  <c r="V20" i="9"/>
  <c r="N20" i="9"/>
  <c r="L20" i="9"/>
  <c r="B20" i="9"/>
  <c r="X19" i="9"/>
  <c r="T19" i="9"/>
  <c r="P19" i="9"/>
  <c r="H19" i="9"/>
  <c r="D19" i="9"/>
  <c r="B19" i="9"/>
  <c r="V18" i="9"/>
  <c r="T18" i="9"/>
  <c r="Z18" i="9" s="1"/>
  <c r="R18" i="9"/>
  <c r="P18" i="9"/>
  <c r="X18" i="9" s="1"/>
  <c r="H18" i="9"/>
  <c r="F18" i="9"/>
  <c r="D18" i="9"/>
  <c r="L18" i="9" s="1"/>
  <c r="N18" i="9" s="1"/>
  <c r="J16" i="9"/>
  <c r="V14" i="9"/>
  <c r="T14" i="9"/>
  <c r="Z14" i="9" s="1"/>
  <c r="R14" i="9"/>
  <c r="P14" i="9"/>
  <c r="X14" i="9" s="1"/>
  <c r="N14" i="9"/>
  <c r="H14" i="9"/>
  <c r="F14" i="9"/>
  <c r="D14" i="9"/>
  <c r="L14" i="9" s="1"/>
  <c r="Z12" i="9"/>
  <c r="T12" i="9"/>
  <c r="V77" i="9" s="1"/>
  <c r="P12" i="9"/>
  <c r="R81" i="9" s="1"/>
  <c r="H12" i="9"/>
  <c r="J82" i="9" s="1"/>
  <c r="D12" i="9"/>
  <c r="F72" i="9" s="1"/>
  <c r="D4" i="9"/>
  <c r="B39" i="8"/>
  <c r="B38" i="8"/>
  <c r="T34" i="8"/>
  <c r="Z34" i="8" s="1"/>
  <c r="P34" i="8"/>
  <c r="H34" i="8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18" i="8" s="1"/>
  <c r="P12" i="8"/>
  <c r="R24" i="8" s="1"/>
  <c r="H12" i="8"/>
  <c r="J22" i="8" s="1"/>
  <c r="D12" i="8"/>
  <c r="F18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D20" i="7"/>
  <c r="T16" i="7"/>
  <c r="Z16" i="7" s="1"/>
  <c r="P16" i="7"/>
  <c r="H16" i="7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1" i="7" s="1"/>
  <c r="P12" i="7"/>
  <c r="R34" i="7" s="1"/>
  <c r="H12" i="7"/>
  <c r="J36" i="7" s="1"/>
  <c r="D12" i="7"/>
  <c r="D5" i="7"/>
  <c r="D4" i="7"/>
  <c r="X29" i="6"/>
  <c r="Z29" i="6" s="1"/>
  <c r="T29" i="6"/>
  <c r="P29" i="6"/>
  <c r="J29" i="6"/>
  <c r="H29" i="6"/>
  <c r="D29" i="6"/>
  <c r="T28" i="6"/>
  <c r="P28" i="6"/>
  <c r="X28" i="6" s="1"/>
  <c r="H28" i="6"/>
  <c r="D28" i="6"/>
  <c r="L28" i="6" s="1"/>
  <c r="N28" i="6" s="1"/>
  <c r="J26" i="6"/>
  <c r="Z24" i="6"/>
  <c r="X24" i="6"/>
  <c r="N24" i="6"/>
  <c r="L24" i="6"/>
  <c r="J24" i="6"/>
  <c r="Z20" i="6"/>
  <c r="X20" i="6"/>
  <c r="T20" i="6"/>
  <c r="P20" i="6"/>
  <c r="J20" i="6"/>
  <c r="H20" i="6"/>
  <c r="D20" i="6"/>
  <c r="T18" i="6"/>
  <c r="Z18" i="6" s="1"/>
  <c r="P18" i="6"/>
  <c r="X18" i="6" s="1"/>
  <c r="N18" i="6"/>
  <c r="J18" i="6"/>
  <c r="H18" i="6"/>
  <c r="D18" i="6"/>
  <c r="L18" i="6" s="1"/>
  <c r="J16" i="6"/>
  <c r="H16" i="6"/>
  <c r="T14" i="6"/>
  <c r="T16" i="6" s="1"/>
  <c r="R14" i="6"/>
  <c r="P14" i="6"/>
  <c r="X14" i="6" s="1"/>
  <c r="N14" i="6"/>
  <c r="J14" i="6"/>
  <c r="H14" i="6"/>
  <c r="D14" i="6"/>
  <c r="L14" i="6" s="1"/>
  <c r="Z12" i="6"/>
  <c r="X12" i="6"/>
  <c r="T12" i="6"/>
  <c r="V31" i="6" s="1"/>
  <c r="P12" i="6"/>
  <c r="N12" i="6"/>
  <c r="H12" i="6"/>
  <c r="J31" i="6" s="1"/>
  <c r="D12" i="6"/>
  <c r="L12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P20" i="5"/>
  <c r="H20" i="5"/>
  <c r="N20" i="5" s="1"/>
  <c r="D20" i="5"/>
  <c r="T16" i="5"/>
  <c r="P16" i="5"/>
  <c r="H16" i="5"/>
  <c r="N16" i="5" s="1"/>
  <c r="D16" i="5"/>
  <c r="B16" i="5"/>
  <c r="T15" i="5"/>
  <c r="Z15" i="5" s="1"/>
  <c r="P15" i="5"/>
  <c r="X15" i="5" s="1"/>
  <c r="H15" i="5"/>
  <c r="N15" i="5" s="1"/>
  <c r="D15" i="5"/>
  <c r="T13" i="5"/>
  <c r="P13" i="5"/>
  <c r="H13" i="5"/>
  <c r="N13" i="5" s="1"/>
  <c r="D13" i="5"/>
  <c r="B13" i="5"/>
  <c r="T12" i="5"/>
  <c r="V36" i="5" s="1"/>
  <c r="P12" i="5"/>
  <c r="R21" i="5" s="1"/>
  <c r="H12" i="5"/>
  <c r="J20" i="5" s="1"/>
  <c r="D12" i="5"/>
  <c r="F36" i="5" s="1"/>
  <c r="D5" i="5"/>
  <c r="D4" i="5"/>
  <c r="B39" i="4"/>
  <c r="B38" i="4"/>
  <c r="T34" i="4"/>
  <c r="Z34" i="4" s="1"/>
  <c r="P34" i="4"/>
  <c r="H34" i="4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18" i="4" s="1"/>
  <c r="P12" i="4"/>
  <c r="R24" i="4" s="1"/>
  <c r="H12" i="4"/>
  <c r="J22" i="4" s="1"/>
  <c r="D12" i="4"/>
  <c r="F18" i="4" s="1"/>
  <c r="D5" i="4"/>
  <c r="D4" i="4"/>
  <c r="X263" i="3"/>
  <c r="Z263" i="3" s="1"/>
  <c r="T263" i="3"/>
  <c r="P263" i="3"/>
  <c r="H263" i="3"/>
  <c r="D263" i="3"/>
  <c r="L263" i="3" s="1"/>
  <c r="T262" i="3"/>
  <c r="P262" i="3"/>
  <c r="X262" i="3" s="1"/>
  <c r="Z262" i="3" s="1"/>
  <c r="N262" i="3"/>
  <c r="L262" i="3"/>
  <c r="H262" i="3"/>
  <c r="D262" i="3"/>
  <c r="Z258" i="3"/>
  <c r="X258" i="3"/>
  <c r="L258" i="3"/>
  <c r="N258" i="3" s="1"/>
  <c r="X254" i="3"/>
  <c r="Z254" i="3" s="1"/>
  <c r="T254" i="3"/>
  <c r="P254" i="3"/>
  <c r="H254" i="3"/>
  <c r="N254" i="3" s="1"/>
  <c r="D254" i="3"/>
  <c r="L254" i="3" s="1"/>
  <c r="B254" i="3"/>
  <c r="T253" i="3"/>
  <c r="Z253" i="3" s="1"/>
  <c r="P253" i="3"/>
  <c r="X253" i="3" s="1"/>
  <c r="N253" i="3"/>
  <c r="H253" i="3"/>
  <c r="D253" i="3"/>
  <c r="L253" i="3" s="1"/>
  <c r="B253" i="3"/>
  <c r="Z252" i="3"/>
  <c r="X252" i="3"/>
  <c r="T252" i="3"/>
  <c r="P252" i="3"/>
  <c r="L252" i="3"/>
  <c r="N252" i="3" s="1"/>
  <c r="H252" i="3"/>
  <c r="D252" i="3"/>
  <c r="B252" i="3"/>
  <c r="T251" i="3"/>
  <c r="P251" i="3"/>
  <c r="H251" i="3"/>
  <c r="D251" i="3"/>
  <c r="L251" i="3" s="1"/>
  <c r="B251" i="3"/>
  <c r="T250" i="3"/>
  <c r="P250" i="3"/>
  <c r="X250" i="3" s="1"/>
  <c r="Z250" i="3" s="1"/>
  <c r="N250" i="3"/>
  <c r="L250" i="3"/>
  <c r="H250" i="3"/>
  <c r="D250" i="3"/>
  <c r="B250" i="3"/>
  <c r="X249" i="3"/>
  <c r="Z249" i="3" s="1"/>
  <c r="T249" i="3"/>
  <c r="P249" i="3"/>
  <c r="H249" i="3"/>
  <c r="D249" i="3"/>
  <c r="B249" i="3"/>
  <c r="T248" i="3"/>
  <c r="Z248" i="3" s="1"/>
  <c r="P248" i="3"/>
  <c r="X248" i="3" s="1"/>
  <c r="N248" i="3"/>
  <c r="H248" i="3"/>
  <c r="D248" i="3"/>
  <c r="B248" i="3"/>
  <c r="T247" i="3"/>
  <c r="P247" i="3"/>
  <c r="X247" i="3" s="1"/>
  <c r="Z247" i="3" s="1"/>
  <c r="L247" i="3"/>
  <c r="N247" i="3" s="1"/>
  <c r="H247" i="3"/>
  <c r="D247" i="3"/>
  <c r="B247" i="3"/>
  <c r="Z244" i="3"/>
  <c r="X244" i="3"/>
  <c r="L244" i="3"/>
  <c r="N244" i="3" s="1"/>
  <c r="B244" i="3"/>
  <c r="T243" i="3"/>
  <c r="P243" i="3"/>
  <c r="X243" i="3" s="1"/>
  <c r="H243" i="3"/>
  <c r="D243" i="3"/>
  <c r="L243" i="3" s="1"/>
  <c r="N243" i="3" s="1"/>
  <c r="B243" i="3"/>
  <c r="Z242" i="3"/>
  <c r="X242" i="3"/>
  <c r="N242" i="3"/>
  <c r="L242" i="3"/>
  <c r="B242" i="3"/>
  <c r="X241" i="3"/>
  <c r="Z241" i="3" s="1"/>
  <c r="L241" i="3"/>
  <c r="N241" i="3" s="1"/>
  <c r="B241" i="3"/>
  <c r="Z240" i="3"/>
  <c r="X240" i="3"/>
  <c r="N240" i="3"/>
  <c r="L240" i="3"/>
  <c r="B240" i="3"/>
  <c r="T239" i="3"/>
  <c r="P239" i="3"/>
  <c r="X239" i="3" s="1"/>
  <c r="H239" i="3"/>
  <c r="D239" i="3"/>
  <c r="L239" i="3" s="1"/>
  <c r="N239" i="3" s="1"/>
  <c r="B239" i="3"/>
  <c r="Z238" i="3"/>
  <c r="X238" i="3"/>
  <c r="N238" i="3"/>
  <c r="L238" i="3"/>
  <c r="B238" i="3"/>
  <c r="T237" i="3"/>
  <c r="P237" i="3"/>
  <c r="X237" i="3" s="1"/>
  <c r="Z237" i="3" s="1"/>
  <c r="L237" i="3"/>
  <c r="N237" i="3" s="1"/>
  <c r="H237" i="3"/>
  <c r="D237" i="3"/>
  <c r="B237" i="3"/>
  <c r="X236" i="3"/>
  <c r="Z236" i="3" s="1"/>
  <c r="N236" i="3"/>
  <c r="L236" i="3"/>
  <c r="B236" i="3"/>
  <c r="X235" i="3"/>
  <c r="Z235" i="3" s="1"/>
  <c r="N235" i="3"/>
  <c r="L235" i="3"/>
  <c r="B235" i="3"/>
  <c r="Z234" i="3"/>
  <c r="X234" i="3"/>
  <c r="T234" i="3"/>
  <c r="P234" i="3"/>
  <c r="L234" i="3"/>
  <c r="N234" i="3" s="1"/>
  <c r="H234" i="3"/>
  <c r="D234" i="3"/>
  <c r="B234" i="3"/>
  <c r="X233" i="3"/>
  <c r="Z233" i="3" s="1"/>
  <c r="N233" i="3"/>
  <c r="L233" i="3"/>
  <c r="B233" i="3"/>
  <c r="X232" i="3"/>
  <c r="Z232" i="3" s="1"/>
  <c r="N232" i="3"/>
  <c r="L232" i="3"/>
  <c r="B232" i="3"/>
  <c r="X231" i="3"/>
  <c r="Z231" i="3" s="1"/>
  <c r="N231" i="3"/>
  <c r="L231" i="3"/>
  <c r="B231" i="3"/>
  <c r="Z230" i="3"/>
  <c r="X230" i="3"/>
  <c r="N230" i="3"/>
  <c r="L230" i="3"/>
  <c r="B230" i="3"/>
  <c r="X229" i="3"/>
  <c r="Z229" i="3" s="1"/>
  <c r="L229" i="3"/>
  <c r="N229" i="3" s="1"/>
  <c r="B229" i="3"/>
  <c r="Z228" i="3"/>
  <c r="X228" i="3"/>
  <c r="L228" i="3"/>
  <c r="N228" i="3" s="1"/>
  <c r="B228" i="3"/>
  <c r="Z227" i="3"/>
  <c r="X227" i="3"/>
  <c r="L227" i="3"/>
  <c r="N227" i="3" s="1"/>
  <c r="B227" i="3"/>
  <c r="Z226" i="3"/>
  <c r="X226" i="3"/>
  <c r="N226" i="3"/>
  <c r="L226" i="3"/>
  <c r="B226" i="3"/>
  <c r="X225" i="3"/>
  <c r="Z225" i="3" s="1"/>
  <c r="L225" i="3"/>
  <c r="N225" i="3" s="1"/>
  <c r="B225" i="3"/>
  <c r="X224" i="3"/>
  <c r="Z224" i="3" s="1"/>
  <c r="T224" i="3"/>
  <c r="P224" i="3"/>
  <c r="H224" i="3"/>
  <c r="D224" i="3"/>
  <c r="L224" i="3" s="1"/>
  <c r="B224" i="3"/>
  <c r="Z223" i="3"/>
  <c r="X223" i="3"/>
  <c r="L223" i="3"/>
  <c r="N223" i="3" s="1"/>
  <c r="B223" i="3"/>
  <c r="Z222" i="3"/>
  <c r="X222" i="3"/>
  <c r="N222" i="3"/>
  <c r="L222" i="3"/>
  <c r="B222" i="3"/>
  <c r="T221" i="3"/>
  <c r="P221" i="3"/>
  <c r="H221" i="3"/>
  <c r="D221" i="3"/>
  <c r="L221" i="3" s="1"/>
  <c r="B221" i="3"/>
  <c r="Z220" i="3"/>
  <c r="X220" i="3"/>
  <c r="L220" i="3"/>
  <c r="N220" i="3" s="1"/>
  <c r="B220" i="3"/>
  <c r="Z219" i="3"/>
  <c r="X219" i="3"/>
  <c r="L219" i="3"/>
  <c r="N219" i="3" s="1"/>
  <c r="B219" i="3"/>
  <c r="Z218" i="3"/>
  <c r="X218" i="3"/>
  <c r="N218" i="3"/>
  <c r="L218" i="3"/>
  <c r="B218" i="3"/>
  <c r="X217" i="3"/>
  <c r="Z217" i="3" s="1"/>
  <c r="N217" i="3"/>
  <c r="L217" i="3"/>
  <c r="B217" i="3"/>
  <c r="X216" i="3"/>
  <c r="Z216" i="3" s="1"/>
  <c r="N216" i="3"/>
  <c r="L216" i="3"/>
  <c r="B216" i="3"/>
  <c r="X215" i="3"/>
  <c r="Z215" i="3" s="1"/>
  <c r="T215" i="3"/>
  <c r="P215" i="3"/>
  <c r="H215" i="3"/>
  <c r="D215" i="3"/>
  <c r="B215" i="3"/>
  <c r="Z214" i="3"/>
  <c r="X214" i="3"/>
  <c r="N214" i="3"/>
  <c r="L214" i="3"/>
  <c r="B214" i="3"/>
  <c r="X213" i="3"/>
  <c r="Z213" i="3" s="1"/>
  <c r="L213" i="3"/>
  <c r="N213" i="3" s="1"/>
  <c r="B213" i="3"/>
  <c r="X212" i="3"/>
  <c r="Z212" i="3" s="1"/>
  <c r="N212" i="3"/>
  <c r="L212" i="3"/>
  <c r="B212" i="3"/>
  <c r="X211" i="3"/>
  <c r="Z211" i="3" s="1"/>
  <c r="T211" i="3"/>
  <c r="P211" i="3"/>
  <c r="H211" i="3"/>
  <c r="D211" i="3"/>
  <c r="B211" i="3"/>
  <c r="Z210" i="3"/>
  <c r="X210" i="3"/>
  <c r="N210" i="3"/>
  <c r="L210" i="3"/>
  <c r="B210" i="3"/>
  <c r="X209" i="3"/>
  <c r="Z209" i="3" s="1"/>
  <c r="L209" i="3"/>
  <c r="N209" i="3" s="1"/>
  <c r="B209" i="3"/>
  <c r="Z208" i="3"/>
  <c r="X208" i="3"/>
  <c r="N208" i="3"/>
  <c r="L208" i="3"/>
  <c r="B208" i="3"/>
  <c r="X207" i="3"/>
  <c r="Z207" i="3" s="1"/>
  <c r="N207" i="3"/>
  <c r="L207" i="3"/>
  <c r="B207" i="3"/>
  <c r="Z206" i="3"/>
  <c r="T206" i="3"/>
  <c r="P206" i="3"/>
  <c r="X206" i="3" s="1"/>
  <c r="L206" i="3"/>
  <c r="N206" i="3" s="1"/>
  <c r="H206" i="3"/>
  <c r="D206" i="3"/>
  <c r="B206" i="3"/>
  <c r="X205" i="3"/>
  <c r="Z205" i="3" s="1"/>
  <c r="L205" i="3"/>
  <c r="N205" i="3" s="1"/>
  <c r="B205" i="3"/>
  <c r="X204" i="3"/>
  <c r="Z204" i="3" s="1"/>
  <c r="T204" i="3"/>
  <c r="P204" i="3"/>
  <c r="H204" i="3"/>
  <c r="N204" i="3" s="1"/>
  <c r="D204" i="3"/>
  <c r="L204" i="3" s="1"/>
  <c r="B204" i="3"/>
  <c r="Z203" i="3"/>
  <c r="X203" i="3"/>
  <c r="L203" i="3"/>
  <c r="N203" i="3" s="1"/>
  <c r="B203" i="3"/>
  <c r="T202" i="3"/>
  <c r="Z202" i="3" s="1"/>
  <c r="P202" i="3"/>
  <c r="X202" i="3" s="1"/>
  <c r="H202" i="3"/>
  <c r="D202" i="3"/>
  <c r="L202" i="3" s="1"/>
  <c r="N202" i="3" s="1"/>
  <c r="B202" i="3"/>
  <c r="Z201" i="3"/>
  <c r="X201" i="3"/>
  <c r="N201" i="3"/>
  <c r="L201" i="3"/>
  <c r="B201" i="3"/>
  <c r="Z200" i="3"/>
  <c r="T200" i="3"/>
  <c r="P200" i="3"/>
  <c r="X200" i="3" s="1"/>
  <c r="N200" i="3"/>
  <c r="H200" i="3"/>
  <c r="D200" i="3"/>
  <c r="L200" i="3" s="1"/>
  <c r="B200" i="3"/>
  <c r="Z199" i="3"/>
  <c r="X199" i="3"/>
  <c r="N199" i="3"/>
  <c r="L199" i="3"/>
  <c r="B199" i="3"/>
  <c r="Z198" i="3"/>
  <c r="X198" i="3"/>
  <c r="L198" i="3"/>
  <c r="N198" i="3" s="1"/>
  <c r="B198" i="3"/>
  <c r="T197" i="3"/>
  <c r="P197" i="3"/>
  <c r="X197" i="3" s="1"/>
  <c r="Z197" i="3" s="1"/>
  <c r="L197" i="3"/>
  <c r="N197" i="3" s="1"/>
  <c r="H197" i="3"/>
  <c r="D197" i="3"/>
  <c r="B197" i="3"/>
  <c r="X196" i="3"/>
  <c r="Z196" i="3" s="1"/>
  <c r="N196" i="3"/>
  <c r="L196" i="3"/>
  <c r="B196" i="3"/>
  <c r="X195" i="3"/>
  <c r="Z195" i="3" s="1"/>
  <c r="T195" i="3"/>
  <c r="P195" i="3"/>
  <c r="H195" i="3"/>
  <c r="D195" i="3"/>
  <c r="B195" i="3"/>
  <c r="X194" i="3"/>
  <c r="Z194" i="3" s="1"/>
  <c r="N194" i="3"/>
  <c r="L194" i="3"/>
  <c r="B194" i="3"/>
  <c r="T193" i="3"/>
  <c r="P193" i="3"/>
  <c r="H193" i="3"/>
  <c r="N193" i="3" s="1"/>
  <c r="D193" i="3"/>
  <c r="L193" i="3" s="1"/>
  <c r="B193" i="3"/>
  <c r="Z192" i="3"/>
  <c r="X192" i="3"/>
  <c r="L192" i="3"/>
  <c r="N192" i="3" s="1"/>
  <c r="B192" i="3"/>
  <c r="T191" i="3"/>
  <c r="Z191" i="3" s="1"/>
  <c r="P191" i="3"/>
  <c r="X191" i="3" s="1"/>
  <c r="H191" i="3"/>
  <c r="D191" i="3"/>
  <c r="L191" i="3" s="1"/>
  <c r="B191" i="3"/>
  <c r="Z190" i="3"/>
  <c r="X190" i="3"/>
  <c r="N190" i="3"/>
  <c r="L190" i="3"/>
  <c r="B190" i="3"/>
  <c r="X189" i="3"/>
  <c r="Z189" i="3" s="1"/>
  <c r="L189" i="3"/>
  <c r="N189" i="3" s="1"/>
  <c r="B189" i="3"/>
  <c r="T188" i="3"/>
  <c r="P188" i="3"/>
  <c r="X188" i="3" s="1"/>
  <c r="Z188" i="3" s="1"/>
  <c r="N188" i="3"/>
  <c r="H188" i="3"/>
  <c r="L188" i="3" s="1"/>
  <c r="D188" i="3"/>
  <c r="B188" i="3"/>
  <c r="X187" i="3"/>
  <c r="Z187" i="3" s="1"/>
  <c r="N187" i="3"/>
  <c r="L187" i="3"/>
  <c r="B187" i="3"/>
  <c r="Z186" i="3"/>
  <c r="T186" i="3"/>
  <c r="X186" i="3" s="1"/>
  <c r="P186" i="3"/>
  <c r="L186" i="3"/>
  <c r="N186" i="3" s="1"/>
  <c r="H186" i="3"/>
  <c r="D186" i="3"/>
  <c r="B186" i="3"/>
  <c r="X185" i="3"/>
  <c r="Z185" i="3" s="1"/>
  <c r="N185" i="3"/>
  <c r="L185" i="3"/>
  <c r="B185" i="3"/>
  <c r="X184" i="3"/>
  <c r="Z184" i="3" s="1"/>
  <c r="T184" i="3"/>
  <c r="P184" i="3"/>
  <c r="H184" i="3"/>
  <c r="N184" i="3" s="1"/>
  <c r="D184" i="3"/>
  <c r="L184" i="3" s="1"/>
  <c r="B184" i="3"/>
  <c r="Z183" i="3"/>
  <c r="X183" i="3"/>
  <c r="L183" i="3"/>
  <c r="N183" i="3" s="1"/>
  <c r="B183" i="3"/>
  <c r="T182" i="3"/>
  <c r="P182" i="3"/>
  <c r="X182" i="3" s="1"/>
  <c r="H182" i="3"/>
  <c r="D182" i="3"/>
  <c r="L182" i="3" s="1"/>
  <c r="N182" i="3" s="1"/>
  <c r="B182" i="3"/>
  <c r="X181" i="3"/>
  <c r="Z181" i="3" s="1"/>
  <c r="L181" i="3"/>
  <c r="N181" i="3" s="1"/>
  <c r="B181" i="3"/>
  <c r="Z180" i="3"/>
  <c r="X180" i="3"/>
  <c r="L180" i="3"/>
  <c r="N180" i="3" s="1"/>
  <c r="B180" i="3"/>
  <c r="T179" i="3"/>
  <c r="Z179" i="3" s="1"/>
  <c r="P179" i="3"/>
  <c r="X179" i="3" s="1"/>
  <c r="H179" i="3"/>
  <c r="D179" i="3"/>
  <c r="L179" i="3" s="1"/>
  <c r="N179" i="3" s="1"/>
  <c r="B179" i="3"/>
  <c r="Z178" i="3"/>
  <c r="X178" i="3"/>
  <c r="N178" i="3"/>
  <c r="L178" i="3"/>
  <c r="B178" i="3"/>
  <c r="X177" i="3"/>
  <c r="Z177" i="3" s="1"/>
  <c r="L177" i="3"/>
  <c r="N177" i="3" s="1"/>
  <c r="B177" i="3"/>
  <c r="T176" i="3"/>
  <c r="P176" i="3"/>
  <c r="X176" i="3" s="1"/>
  <c r="Z176" i="3" s="1"/>
  <c r="N176" i="3"/>
  <c r="H176" i="3"/>
  <c r="L176" i="3" s="1"/>
  <c r="D176" i="3"/>
  <c r="B176" i="3"/>
  <c r="X175" i="3"/>
  <c r="Z175" i="3" s="1"/>
  <c r="N175" i="3"/>
  <c r="L175" i="3"/>
  <c r="B175" i="3"/>
  <c r="Z174" i="3"/>
  <c r="T174" i="3"/>
  <c r="X174" i="3" s="1"/>
  <c r="P174" i="3"/>
  <c r="L174" i="3"/>
  <c r="N174" i="3" s="1"/>
  <c r="H174" i="3"/>
  <c r="D174" i="3"/>
  <c r="B174" i="3"/>
  <c r="X173" i="3"/>
  <c r="Z173" i="3" s="1"/>
  <c r="L173" i="3"/>
  <c r="N173" i="3" s="1"/>
  <c r="B173" i="3"/>
  <c r="X172" i="3"/>
  <c r="Z172" i="3" s="1"/>
  <c r="T172" i="3"/>
  <c r="P172" i="3"/>
  <c r="H172" i="3"/>
  <c r="N172" i="3" s="1"/>
  <c r="D172" i="3"/>
  <c r="L172" i="3" s="1"/>
  <c r="B172" i="3"/>
  <c r="Z171" i="3"/>
  <c r="X171" i="3"/>
  <c r="L171" i="3"/>
  <c r="N171" i="3" s="1"/>
  <c r="B171" i="3"/>
  <c r="T170" i="3"/>
  <c r="Z170" i="3" s="1"/>
  <c r="P170" i="3"/>
  <c r="X170" i="3" s="1"/>
  <c r="H170" i="3"/>
  <c r="D170" i="3"/>
  <c r="L170" i="3" s="1"/>
  <c r="N170" i="3" s="1"/>
  <c r="B170" i="3"/>
  <c r="X169" i="3"/>
  <c r="Z169" i="3" s="1"/>
  <c r="L169" i="3"/>
  <c r="N169" i="3" s="1"/>
  <c r="B169" i="3"/>
  <c r="Z168" i="3"/>
  <c r="X168" i="3"/>
  <c r="L168" i="3"/>
  <c r="N168" i="3" s="1"/>
  <c r="B168" i="3"/>
  <c r="Z167" i="3"/>
  <c r="X167" i="3"/>
  <c r="L167" i="3"/>
  <c r="N167" i="3" s="1"/>
  <c r="B167" i="3"/>
  <c r="X166" i="3"/>
  <c r="Z166" i="3" s="1"/>
  <c r="N166" i="3"/>
  <c r="L166" i="3"/>
  <c r="B166" i="3"/>
  <c r="X165" i="3"/>
  <c r="Z165" i="3" s="1"/>
  <c r="L165" i="3"/>
  <c r="N165" i="3" s="1"/>
  <c r="B165" i="3"/>
  <c r="X164" i="3"/>
  <c r="Z164" i="3" s="1"/>
  <c r="N164" i="3"/>
  <c r="L164" i="3"/>
  <c r="B164" i="3"/>
  <c r="X163" i="3"/>
  <c r="Z163" i="3" s="1"/>
  <c r="N163" i="3"/>
  <c r="L163" i="3"/>
  <c r="B163" i="3"/>
  <c r="T162" i="3"/>
  <c r="X162" i="3" s="1"/>
  <c r="Z162" i="3" s="1"/>
  <c r="P162" i="3"/>
  <c r="L162" i="3"/>
  <c r="N162" i="3" s="1"/>
  <c r="H162" i="3"/>
  <c r="D162" i="3"/>
  <c r="B162" i="3"/>
  <c r="X161" i="3"/>
  <c r="Z161" i="3" s="1"/>
  <c r="L161" i="3"/>
  <c r="N161" i="3" s="1"/>
  <c r="B161" i="3"/>
  <c r="X160" i="3"/>
  <c r="Z160" i="3" s="1"/>
  <c r="N160" i="3"/>
  <c r="L160" i="3"/>
  <c r="B160" i="3"/>
  <c r="X159" i="3"/>
  <c r="Z159" i="3" s="1"/>
  <c r="N159" i="3"/>
  <c r="L159" i="3"/>
  <c r="B159" i="3"/>
  <c r="Z158" i="3"/>
  <c r="X158" i="3"/>
  <c r="L158" i="3"/>
  <c r="N158" i="3" s="1"/>
  <c r="B158" i="3"/>
  <c r="Z157" i="3"/>
  <c r="X157" i="3"/>
  <c r="N157" i="3"/>
  <c r="L157" i="3"/>
  <c r="B157" i="3"/>
  <c r="Z156" i="3"/>
  <c r="X156" i="3"/>
  <c r="L156" i="3"/>
  <c r="N156" i="3" s="1"/>
  <c r="B156" i="3"/>
  <c r="Z155" i="3"/>
  <c r="X155" i="3"/>
  <c r="L155" i="3"/>
  <c r="N155" i="3" s="1"/>
  <c r="B155" i="3"/>
  <c r="X154" i="3"/>
  <c r="Z154" i="3" s="1"/>
  <c r="N154" i="3"/>
  <c r="L154" i="3"/>
  <c r="B154" i="3"/>
  <c r="X153" i="3"/>
  <c r="Z153" i="3" s="1"/>
  <c r="L153" i="3"/>
  <c r="N153" i="3" s="1"/>
  <c r="B153" i="3"/>
  <c r="X152" i="3"/>
  <c r="Z152" i="3" s="1"/>
  <c r="N152" i="3"/>
  <c r="L152" i="3"/>
  <c r="B152" i="3"/>
  <c r="X151" i="3"/>
  <c r="Z151" i="3" s="1"/>
  <c r="T151" i="3"/>
  <c r="P151" i="3"/>
  <c r="H151" i="3"/>
  <c r="D151" i="3"/>
  <c r="B151" i="3"/>
  <c r="T150" i="3"/>
  <c r="Z150" i="3" s="1"/>
  <c r="P150" i="3"/>
  <c r="X150" i="3" s="1"/>
  <c r="H150" i="3"/>
  <c r="D150" i="3"/>
  <c r="L150" i="3" s="1"/>
  <c r="N150" i="3" s="1"/>
  <c r="Z146" i="3"/>
  <c r="X146" i="3"/>
  <c r="N146" i="3"/>
  <c r="L146" i="3"/>
  <c r="B146" i="3"/>
  <c r="X145" i="3"/>
  <c r="Z145" i="3" s="1"/>
  <c r="N145" i="3"/>
  <c r="L145" i="3"/>
  <c r="B145" i="3"/>
  <c r="X144" i="3"/>
  <c r="Z144" i="3" s="1"/>
  <c r="N144" i="3"/>
  <c r="L144" i="3"/>
  <c r="B144" i="3"/>
  <c r="X143" i="3"/>
  <c r="Z143" i="3" s="1"/>
  <c r="N143" i="3"/>
  <c r="L143" i="3"/>
  <c r="B143" i="3"/>
  <c r="Z142" i="3"/>
  <c r="X142" i="3"/>
  <c r="L142" i="3"/>
  <c r="N142" i="3" s="1"/>
  <c r="B142" i="3"/>
  <c r="Z141" i="3"/>
  <c r="X141" i="3"/>
  <c r="N141" i="3"/>
  <c r="L141" i="3"/>
  <c r="B141" i="3"/>
  <c r="Z140" i="3"/>
  <c r="X140" i="3"/>
  <c r="L140" i="3"/>
  <c r="N140" i="3" s="1"/>
  <c r="B140" i="3"/>
  <c r="Z139" i="3"/>
  <c r="X139" i="3"/>
  <c r="L139" i="3"/>
  <c r="N139" i="3" s="1"/>
  <c r="B139" i="3"/>
  <c r="X138" i="3"/>
  <c r="Z138" i="3" s="1"/>
  <c r="N138" i="3"/>
  <c r="L138" i="3"/>
  <c r="B138" i="3"/>
  <c r="X137" i="3"/>
  <c r="Z137" i="3" s="1"/>
  <c r="L137" i="3"/>
  <c r="N137" i="3" s="1"/>
  <c r="B137" i="3"/>
  <c r="X136" i="3"/>
  <c r="Z136" i="3" s="1"/>
  <c r="N136" i="3"/>
  <c r="L136" i="3"/>
  <c r="B136" i="3"/>
  <c r="X135" i="3"/>
  <c r="Z135" i="3" s="1"/>
  <c r="N135" i="3"/>
  <c r="L135" i="3"/>
  <c r="B135" i="3"/>
  <c r="Z134" i="3"/>
  <c r="X134" i="3"/>
  <c r="L134" i="3"/>
  <c r="N134" i="3" s="1"/>
  <c r="B134" i="3"/>
  <c r="Z133" i="3"/>
  <c r="X133" i="3"/>
  <c r="N133" i="3"/>
  <c r="L133" i="3"/>
  <c r="B133" i="3"/>
  <c r="Z132" i="3"/>
  <c r="X132" i="3"/>
  <c r="L132" i="3"/>
  <c r="N132" i="3" s="1"/>
  <c r="B132" i="3"/>
  <c r="Z131" i="3"/>
  <c r="X131" i="3"/>
  <c r="L131" i="3"/>
  <c r="N131" i="3" s="1"/>
  <c r="B131" i="3"/>
  <c r="X130" i="3"/>
  <c r="Z130" i="3" s="1"/>
  <c r="N130" i="3"/>
  <c r="L130" i="3"/>
  <c r="B130" i="3"/>
  <c r="Z129" i="3"/>
  <c r="X129" i="3"/>
  <c r="N129" i="3"/>
  <c r="L129" i="3"/>
  <c r="B129" i="3"/>
  <c r="X128" i="3"/>
  <c r="Z128" i="3" s="1"/>
  <c r="N128" i="3"/>
  <c r="L128" i="3"/>
  <c r="B128" i="3"/>
  <c r="X127" i="3"/>
  <c r="Z127" i="3" s="1"/>
  <c r="N127" i="3"/>
  <c r="L127" i="3"/>
  <c r="B127" i="3"/>
  <c r="Z126" i="3"/>
  <c r="X126" i="3"/>
  <c r="N126" i="3"/>
  <c r="L126" i="3"/>
  <c r="B126" i="3"/>
  <c r="X125" i="3"/>
  <c r="Z125" i="3" s="1"/>
  <c r="L125" i="3"/>
  <c r="N125" i="3" s="1"/>
  <c r="B125" i="3"/>
  <c r="Z124" i="3"/>
  <c r="X124" i="3"/>
  <c r="L124" i="3"/>
  <c r="N124" i="3" s="1"/>
  <c r="B124" i="3"/>
  <c r="Z123" i="3"/>
  <c r="X123" i="3"/>
  <c r="L123" i="3"/>
  <c r="N123" i="3" s="1"/>
  <c r="B123" i="3"/>
  <c r="X122" i="3"/>
  <c r="Z122" i="3" s="1"/>
  <c r="N122" i="3"/>
  <c r="L122" i="3"/>
  <c r="B122" i="3"/>
  <c r="X121" i="3"/>
  <c r="Z121" i="3" s="1"/>
  <c r="L121" i="3"/>
  <c r="N121" i="3" s="1"/>
  <c r="B121" i="3"/>
  <c r="X120" i="3"/>
  <c r="Z120" i="3" s="1"/>
  <c r="N120" i="3"/>
  <c r="L120" i="3"/>
  <c r="B120" i="3"/>
  <c r="X119" i="3"/>
  <c r="Z119" i="3" s="1"/>
  <c r="N119" i="3"/>
  <c r="L119" i="3"/>
  <c r="B119" i="3"/>
  <c r="Z118" i="3"/>
  <c r="X118" i="3"/>
  <c r="L118" i="3"/>
  <c r="N118" i="3" s="1"/>
  <c r="B118" i="3"/>
  <c r="Z117" i="3"/>
  <c r="X117" i="3"/>
  <c r="N117" i="3"/>
  <c r="L117" i="3"/>
  <c r="B117" i="3"/>
  <c r="Z116" i="3"/>
  <c r="X116" i="3"/>
  <c r="L116" i="3"/>
  <c r="N116" i="3" s="1"/>
  <c r="B116" i="3"/>
  <c r="Z115" i="3"/>
  <c r="X115" i="3"/>
  <c r="L115" i="3"/>
  <c r="N115" i="3" s="1"/>
  <c r="B115" i="3"/>
  <c r="X114" i="3"/>
  <c r="Z114" i="3" s="1"/>
  <c r="N114" i="3"/>
  <c r="L114" i="3"/>
  <c r="B114" i="3"/>
  <c r="X113" i="3"/>
  <c r="Z113" i="3" s="1"/>
  <c r="L113" i="3"/>
  <c r="N113" i="3" s="1"/>
  <c r="B113" i="3"/>
  <c r="X112" i="3"/>
  <c r="Z112" i="3" s="1"/>
  <c r="N112" i="3"/>
  <c r="L112" i="3"/>
  <c r="B112" i="3"/>
  <c r="X111" i="3"/>
  <c r="Z111" i="3" s="1"/>
  <c r="N111" i="3"/>
  <c r="L111" i="3"/>
  <c r="B111" i="3"/>
  <c r="Z110" i="3"/>
  <c r="X110" i="3"/>
  <c r="L110" i="3"/>
  <c r="N110" i="3" s="1"/>
  <c r="B110" i="3"/>
  <c r="X109" i="3"/>
  <c r="Z109" i="3" s="1"/>
  <c r="L109" i="3"/>
  <c r="N109" i="3" s="1"/>
  <c r="B109" i="3"/>
  <c r="Z108" i="3"/>
  <c r="X108" i="3"/>
  <c r="L108" i="3"/>
  <c r="N108" i="3" s="1"/>
  <c r="B108" i="3"/>
  <c r="Z107" i="3"/>
  <c r="X107" i="3"/>
  <c r="L107" i="3"/>
  <c r="N107" i="3" s="1"/>
  <c r="B107" i="3"/>
  <c r="X106" i="3"/>
  <c r="Z106" i="3" s="1"/>
  <c r="N106" i="3"/>
  <c r="L106" i="3"/>
  <c r="B106" i="3"/>
  <c r="X105" i="3"/>
  <c r="Z105" i="3" s="1"/>
  <c r="L105" i="3"/>
  <c r="N105" i="3" s="1"/>
  <c r="B105" i="3"/>
  <c r="X104" i="3"/>
  <c r="Z104" i="3" s="1"/>
  <c r="N104" i="3"/>
  <c r="L104" i="3"/>
  <c r="B104" i="3"/>
  <c r="X103" i="3"/>
  <c r="Z103" i="3" s="1"/>
  <c r="N103" i="3"/>
  <c r="L103" i="3"/>
  <c r="B103" i="3"/>
  <c r="Z102" i="3"/>
  <c r="X102" i="3"/>
  <c r="L102" i="3"/>
  <c r="N102" i="3" s="1"/>
  <c r="B102" i="3"/>
  <c r="X101" i="3"/>
  <c r="Z101" i="3" s="1"/>
  <c r="L101" i="3"/>
  <c r="N101" i="3" s="1"/>
  <c r="B101" i="3"/>
  <c r="Z100" i="3"/>
  <c r="X100" i="3"/>
  <c r="N100" i="3"/>
  <c r="L100" i="3"/>
  <c r="B100" i="3"/>
  <c r="T99" i="3"/>
  <c r="Z99" i="3" s="1"/>
  <c r="P99" i="3"/>
  <c r="X99" i="3" s="1"/>
  <c r="H99" i="3"/>
  <c r="D99" i="3"/>
  <c r="L99" i="3" s="1"/>
  <c r="N99" i="3" s="1"/>
  <c r="Z97" i="3"/>
  <c r="X97" i="3"/>
  <c r="T97" i="3"/>
  <c r="P97" i="3"/>
  <c r="H97" i="3"/>
  <c r="N97" i="3" s="1"/>
  <c r="D97" i="3"/>
  <c r="L97" i="3" s="1"/>
  <c r="B97" i="3"/>
  <c r="T96" i="3"/>
  <c r="P96" i="3"/>
  <c r="X96" i="3" s="1"/>
  <c r="Z96" i="3" s="1"/>
  <c r="H96" i="3"/>
  <c r="N96" i="3" s="1"/>
  <c r="D96" i="3"/>
  <c r="L96" i="3" s="1"/>
  <c r="B96" i="3"/>
  <c r="X95" i="3"/>
  <c r="T95" i="3"/>
  <c r="Z95" i="3" s="1"/>
  <c r="P95" i="3"/>
  <c r="H95" i="3"/>
  <c r="N95" i="3" s="1"/>
  <c r="D95" i="3"/>
  <c r="L95" i="3" s="1"/>
  <c r="B95" i="3"/>
  <c r="T94" i="3"/>
  <c r="P94" i="3"/>
  <c r="X94" i="3" s="1"/>
  <c r="Z94" i="3" s="1"/>
  <c r="L94" i="3"/>
  <c r="H94" i="3"/>
  <c r="N94" i="3" s="1"/>
  <c r="D94" i="3"/>
  <c r="B94" i="3"/>
  <c r="T93" i="3"/>
  <c r="P93" i="3"/>
  <c r="X93" i="3" s="1"/>
  <c r="L93" i="3"/>
  <c r="N93" i="3" s="1"/>
  <c r="H93" i="3"/>
  <c r="D93" i="3"/>
  <c r="B93" i="3"/>
  <c r="T92" i="3"/>
  <c r="P92" i="3"/>
  <c r="X92" i="3" s="1"/>
  <c r="H92" i="3"/>
  <c r="D92" i="3"/>
  <c r="L92" i="3" s="1"/>
  <c r="N92" i="3" s="1"/>
  <c r="B92" i="3"/>
  <c r="T91" i="3"/>
  <c r="P91" i="3"/>
  <c r="X91" i="3" s="1"/>
  <c r="L91" i="3"/>
  <c r="H91" i="3"/>
  <c r="N91" i="3" s="1"/>
  <c r="D91" i="3"/>
  <c r="B91" i="3"/>
  <c r="X90" i="3"/>
  <c r="T90" i="3"/>
  <c r="P90" i="3"/>
  <c r="H90" i="3"/>
  <c r="D90" i="3"/>
  <c r="L90" i="3" s="1"/>
  <c r="N90" i="3" s="1"/>
  <c r="B90" i="3"/>
  <c r="Z89" i="3"/>
  <c r="X89" i="3"/>
  <c r="T89" i="3"/>
  <c r="P89" i="3"/>
  <c r="H89" i="3"/>
  <c r="N89" i="3" s="1"/>
  <c r="D89" i="3"/>
  <c r="L89" i="3" s="1"/>
  <c r="B89" i="3"/>
  <c r="Z88" i="3"/>
  <c r="T88" i="3"/>
  <c r="P88" i="3"/>
  <c r="X88" i="3" s="1"/>
  <c r="H88" i="3"/>
  <c r="N88" i="3" s="1"/>
  <c r="D88" i="3"/>
  <c r="L88" i="3" s="1"/>
  <c r="B88" i="3"/>
  <c r="X87" i="3"/>
  <c r="T87" i="3"/>
  <c r="Z87" i="3" s="1"/>
  <c r="P87" i="3"/>
  <c r="H87" i="3"/>
  <c r="N87" i="3" s="1"/>
  <c r="D87" i="3"/>
  <c r="B87" i="3"/>
  <c r="T86" i="3"/>
  <c r="P86" i="3"/>
  <c r="X86" i="3" s="1"/>
  <c r="Z86" i="3" s="1"/>
  <c r="H86" i="3"/>
  <c r="D86" i="3"/>
  <c r="B86" i="3"/>
  <c r="T85" i="3"/>
  <c r="P85" i="3"/>
  <c r="X85" i="3" s="1"/>
  <c r="N85" i="3"/>
  <c r="L85" i="3"/>
  <c r="H85" i="3"/>
  <c r="D85" i="3"/>
  <c r="B85" i="3"/>
  <c r="T84" i="3"/>
  <c r="Z84" i="3" s="1"/>
  <c r="P84" i="3"/>
  <c r="X84" i="3" s="1"/>
  <c r="N84" i="3"/>
  <c r="H84" i="3"/>
  <c r="D84" i="3"/>
  <c r="L84" i="3" s="1"/>
  <c r="B84" i="3"/>
  <c r="T83" i="3"/>
  <c r="P83" i="3"/>
  <c r="X83" i="3" s="1"/>
  <c r="L83" i="3"/>
  <c r="H83" i="3"/>
  <c r="N83" i="3" s="1"/>
  <c r="D83" i="3"/>
  <c r="B83" i="3"/>
  <c r="T82" i="3"/>
  <c r="X82" i="3" s="1"/>
  <c r="P82" i="3"/>
  <c r="N82" i="3"/>
  <c r="H82" i="3"/>
  <c r="D82" i="3"/>
  <c r="L82" i="3" s="1"/>
  <c r="B82" i="3"/>
  <c r="Z81" i="3"/>
  <c r="X81" i="3"/>
  <c r="T81" i="3"/>
  <c r="P81" i="3"/>
  <c r="H81" i="3"/>
  <c r="D81" i="3"/>
  <c r="L81" i="3" s="1"/>
  <c r="B81" i="3"/>
  <c r="Z80" i="3"/>
  <c r="T80" i="3"/>
  <c r="P80" i="3"/>
  <c r="X80" i="3" s="1"/>
  <c r="H80" i="3"/>
  <c r="D80" i="3"/>
  <c r="L80" i="3" s="1"/>
  <c r="B80" i="3"/>
  <c r="X79" i="3"/>
  <c r="T79" i="3"/>
  <c r="Z79" i="3" s="1"/>
  <c r="P79" i="3"/>
  <c r="H79" i="3"/>
  <c r="D79" i="3"/>
  <c r="B79" i="3"/>
  <c r="T78" i="3"/>
  <c r="P78" i="3"/>
  <c r="X78" i="3" s="1"/>
  <c r="Z78" i="3" s="1"/>
  <c r="L78" i="3"/>
  <c r="H78" i="3"/>
  <c r="D78" i="3"/>
  <c r="B78" i="3"/>
  <c r="T77" i="3"/>
  <c r="P77" i="3"/>
  <c r="X77" i="3" s="1"/>
  <c r="Z77" i="3" s="1"/>
  <c r="N77" i="3"/>
  <c r="L77" i="3"/>
  <c r="H77" i="3"/>
  <c r="D77" i="3"/>
  <c r="B77" i="3"/>
  <c r="T76" i="3"/>
  <c r="Z76" i="3" s="1"/>
  <c r="P76" i="3"/>
  <c r="X76" i="3" s="1"/>
  <c r="H76" i="3"/>
  <c r="D76" i="3"/>
  <c r="L76" i="3" s="1"/>
  <c r="N76" i="3" s="1"/>
  <c r="B76" i="3"/>
  <c r="T75" i="3"/>
  <c r="P75" i="3"/>
  <c r="X75" i="3" s="1"/>
  <c r="L75" i="3"/>
  <c r="H75" i="3"/>
  <c r="N75" i="3" s="1"/>
  <c r="D75" i="3"/>
  <c r="B75" i="3"/>
  <c r="T74" i="3"/>
  <c r="X74" i="3" s="1"/>
  <c r="P74" i="3"/>
  <c r="N74" i="3"/>
  <c r="L74" i="3"/>
  <c r="H74" i="3"/>
  <c r="D74" i="3"/>
  <c r="B74" i="3"/>
  <c r="X73" i="3"/>
  <c r="Z73" i="3" s="1"/>
  <c r="T73" i="3"/>
  <c r="P73" i="3"/>
  <c r="H73" i="3"/>
  <c r="D73" i="3"/>
  <c r="L73" i="3" s="1"/>
  <c r="N73" i="3" s="1"/>
  <c r="B73" i="3"/>
  <c r="T72" i="3"/>
  <c r="P72" i="3"/>
  <c r="X72" i="3" s="1"/>
  <c r="Z72" i="3" s="1"/>
  <c r="H72" i="3"/>
  <c r="D72" i="3"/>
  <c r="L72" i="3" s="1"/>
  <c r="B72" i="3"/>
  <c r="X71" i="3"/>
  <c r="T71" i="3"/>
  <c r="Z71" i="3" s="1"/>
  <c r="P71" i="3"/>
  <c r="H71" i="3"/>
  <c r="N71" i="3" s="1"/>
  <c r="D71" i="3"/>
  <c r="L71" i="3" s="1"/>
  <c r="B71" i="3"/>
  <c r="Z70" i="3"/>
  <c r="X70" i="3"/>
  <c r="T70" i="3"/>
  <c r="P70" i="3"/>
  <c r="H70" i="3"/>
  <c r="D70" i="3"/>
  <c r="B70" i="3"/>
  <c r="T69" i="3"/>
  <c r="P69" i="3"/>
  <c r="X69" i="3" s="1"/>
  <c r="Z69" i="3" s="1"/>
  <c r="L69" i="3"/>
  <c r="N69" i="3" s="1"/>
  <c r="H69" i="3"/>
  <c r="D69" i="3"/>
  <c r="B69" i="3"/>
  <c r="T68" i="3"/>
  <c r="P68" i="3"/>
  <c r="X68" i="3" s="1"/>
  <c r="H68" i="3"/>
  <c r="D68" i="3"/>
  <c r="L68" i="3" s="1"/>
  <c r="N68" i="3" s="1"/>
  <c r="B68" i="3"/>
  <c r="T67" i="3"/>
  <c r="P67" i="3"/>
  <c r="X67" i="3" s="1"/>
  <c r="L67" i="3"/>
  <c r="H67" i="3"/>
  <c r="N67" i="3" s="1"/>
  <c r="D67" i="3"/>
  <c r="B67" i="3"/>
  <c r="T66" i="3"/>
  <c r="P66" i="3"/>
  <c r="N66" i="3"/>
  <c r="L66" i="3"/>
  <c r="H66" i="3"/>
  <c r="D66" i="3"/>
  <c r="B66" i="3"/>
  <c r="T65" i="3"/>
  <c r="P65" i="3"/>
  <c r="X65" i="3" s="1"/>
  <c r="Z65" i="3" s="1"/>
  <c r="H65" i="3"/>
  <c r="D65" i="3"/>
  <c r="L65" i="3" s="1"/>
  <c r="N65" i="3" s="1"/>
  <c r="B65" i="3"/>
  <c r="T64" i="3"/>
  <c r="Z64" i="3" s="1"/>
  <c r="P64" i="3"/>
  <c r="X64" i="3" s="1"/>
  <c r="H64" i="3"/>
  <c r="D64" i="3"/>
  <c r="L64" i="3" s="1"/>
  <c r="B64" i="3"/>
  <c r="X63" i="3"/>
  <c r="T63" i="3"/>
  <c r="P63" i="3"/>
  <c r="H63" i="3"/>
  <c r="D63" i="3"/>
  <c r="L63" i="3" s="1"/>
  <c r="B63" i="3"/>
  <c r="Z62" i="3"/>
  <c r="X62" i="3"/>
  <c r="T62" i="3"/>
  <c r="P62" i="3"/>
  <c r="H62" i="3"/>
  <c r="L62" i="3" s="1"/>
  <c r="D62" i="3"/>
  <c r="B62" i="3"/>
  <c r="T61" i="3"/>
  <c r="P61" i="3"/>
  <c r="X61" i="3" s="1"/>
  <c r="Z61" i="3" s="1"/>
  <c r="N61" i="3"/>
  <c r="H61" i="3"/>
  <c r="D61" i="3"/>
  <c r="L61" i="3" s="1"/>
  <c r="B61" i="3"/>
  <c r="T60" i="3"/>
  <c r="P60" i="3"/>
  <c r="X60" i="3" s="1"/>
  <c r="H60" i="3"/>
  <c r="D60" i="3"/>
  <c r="B60" i="3"/>
  <c r="T59" i="3"/>
  <c r="P59" i="3"/>
  <c r="X59" i="3" s="1"/>
  <c r="L59" i="3"/>
  <c r="H59" i="3"/>
  <c r="N59" i="3" s="1"/>
  <c r="D59" i="3"/>
  <c r="B59" i="3"/>
  <c r="T58" i="3"/>
  <c r="P58" i="3"/>
  <c r="N58" i="3"/>
  <c r="L58" i="3"/>
  <c r="H58" i="3"/>
  <c r="D58" i="3"/>
  <c r="B58" i="3"/>
  <c r="T57" i="3"/>
  <c r="P57" i="3"/>
  <c r="X57" i="3" s="1"/>
  <c r="Z57" i="3" s="1"/>
  <c r="H57" i="3"/>
  <c r="D57" i="3"/>
  <c r="L57" i="3" s="1"/>
  <c r="N57" i="3" s="1"/>
  <c r="B57" i="3"/>
  <c r="T56" i="3"/>
  <c r="P56" i="3"/>
  <c r="X56" i="3" s="1"/>
  <c r="Z56" i="3" s="1"/>
  <c r="H56" i="3"/>
  <c r="D56" i="3"/>
  <c r="L56" i="3" s="1"/>
  <c r="B56" i="3"/>
  <c r="X55" i="3"/>
  <c r="T55" i="3"/>
  <c r="Z55" i="3" s="1"/>
  <c r="P55" i="3"/>
  <c r="H55" i="3"/>
  <c r="N55" i="3" s="1"/>
  <c r="D55" i="3"/>
  <c r="L55" i="3" s="1"/>
  <c r="B55" i="3"/>
  <c r="Z54" i="3"/>
  <c r="X54" i="3"/>
  <c r="T54" i="3"/>
  <c r="P54" i="3"/>
  <c r="H54" i="3"/>
  <c r="L54" i="3" s="1"/>
  <c r="D54" i="3"/>
  <c r="B54" i="3"/>
  <c r="T53" i="3"/>
  <c r="P53" i="3"/>
  <c r="X53" i="3" s="1"/>
  <c r="Z53" i="3" s="1"/>
  <c r="N53" i="3"/>
  <c r="H53" i="3"/>
  <c r="D53" i="3"/>
  <c r="L53" i="3" s="1"/>
  <c r="B53" i="3"/>
  <c r="T52" i="3"/>
  <c r="P52" i="3"/>
  <c r="N52" i="3"/>
  <c r="H52" i="3"/>
  <c r="D52" i="3"/>
  <c r="B52" i="3"/>
  <c r="T51" i="3"/>
  <c r="P51" i="3"/>
  <c r="X51" i="3" s="1"/>
  <c r="L51" i="3"/>
  <c r="H51" i="3"/>
  <c r="N51" i="3" s="1"/>
  <c r="D51" i="3"/>
  <c r="B51" i="3"/>
  <c r="T50" i="3"/>
  <c r="P50" i="3"/>
  <c r="N50" i="3"/>
  <c r="L50" i="3"/>
  <c r="H50" i="3"/>
  <c r="D50" i="3"/>
  <c r="B50" i="3"/>
  <c r="X49" i="3"/>
  <c r="Z49" i="3" s="1"/>
  <c r="T49" i="3"/>
  <c r="P49" i="3"/>
  <c r="N49" i="3"/>
  <c r="H49" i="3"/>
  <c r="D49" i="3"/>
  <c r="L49" i="3" s="1"/>
  <c r="B49" i="3"/>
  <c r="T48" i="3"/>
  <c r="Z48" i="3" s="1"/>
  <c r="P48" i="3"/>
  <c r="X48" i="3" s="1"/>
  <c r="H48" i="3"/>
  <c r="D48" i="3"/>
  <c r="L48" i="3" s="1"/>
  <c r="B48" i="3"/>
  <c r="X47" i="3"/>
  <c r="T47" i="3"/>
  <c r="Z47" i="3" s="1"/>
  <c r="P47" i="3"/>
  <c r="H47" i="3"/>
  <c r="D47" i="3"/>
  <c r="B47" i="3"/>
  <c r="Z46" i="3"/>
  <c r="X46" i="3"/>
  <c r="T46" i="3"/>
  <c r="P46" i="3"/>
  <c r="L46" i="3"/>
  <c r="N46" i="3" s="1"/>
  <c r="H46" i="3"/>
  <c r="D46" i="3"/>
  <c r="B46" i="3"/>
  <c r="T45" i="3"/>
  <c r="P45" i="3"/>
  <c r="X45" i="3" s="1"/>
  <c r="Z45" i="3" s="1"/>
  <c r="N45" i="3"/>
  <c r="L45" i="3"/>
  <c r="H45" i="3"/>
  <c r="D45" i="3"/>
  <c r="B45" i="3"/>
  <c r="T44" i="3"/>
  <c r="P44" i="3"/>
  <c r="H44" i="3"/>
  <c r="N44" i="3" s="1"/>
  <c r="D44" i="3"/>
  <c r="L44" i="3" s="1"/>
  <c r="B44" i="3"/>
  <c r="T43" i="3"/>
  <c r="P43" i="3"/>
  <c r="L43" i="3"/>
  <c r="H43" i="3"/>
  <c r="N43" i="3" s="1"/>
  <c r="D43" i="3"/>
  <c r="B43" i="3"/>
  <c r="T42" i="3"/>
  <c r="P42" i="3"/>
  <c r="N42" i="3"/>
  <c r="L42" i="3"/>
  <c r="H42" i="3"/>
  <c r="D42" i="3"/>
  <c r="B42" i="3"/>
  <c r="X41" i="3"/>
  <c r="Z41" i="3" s="1"/>
  <c r="T41" i="3"/>
  <c r="P41" i="3"/>
  <c r="H41" i="3"/>
  <c r="D41" i="3"/>
  <c r="L41" i="3" s="1"/>
  <c r="N41" i="3" s="1"/>
  <c r="B41" i="3"/>
  <c r="T40" i="3"/>
  <c r="P40" i="3"/>
  <c r="X40" i="3" s="1"/>
  <c r="Z40" i="3" s="1"/>
  <c r="H40" i="3"/>
  <c r="D40" i="3"/>
  <c r="B40" i="3"/>
  <c r="X39" i="3"/>
  <c r="T39" i="3"/>
  <c r="Z39" i="3" s="1"/>
  <c r="P39" i="3"/>
  <c r="H39" i="3"/>
  <c r="D39" i="3"/>
  <c r="B39" i="3"/>
  <c r="Z38" i="3"/>
  <c r="X38" i="3"/>
  <c r="T38" i="3"/>
  <c r="P38" i="3"/>
  <c r="L38" i="3"/>
  <c r="N38" i="3" s="1"/>
  <c r="H38" i="3"/>
  <c r="D38" i="3"/>
  <c r="B38" i="3"/>
  <c r="T37" i="3"/>
  <c r="P37" i="3"/>
  <c r="X37" i="3" s="1"/>
  <c r="Z37" i="3" s="1"/>
  <c r="N37" i="3"/>
  <c r="L37" i="3"/>
  <c r="H37" i="3"/>
  <c r="D37" i="3"/>
  <c r="B37" i="3"/>
  <c r="T36" i="3"/>
  <c r="P36" i="3"/>
  <c r="H36" i="3"/>
  <c r="N36" i="3" s="1"/>
  <c r="D36" i="3"/>
  <c r="B36" i="3"/>
  <c r="T35" i="3"/>
  <c r="P35" i="3"/>
  <c r="X35" i="3" s="1"/>
  <c r="L35" i="3"/>
  <c r="H35" i="3"/>
  <c r="N35" i="3" s="1"/>
  <c r="D35" i="3"/>
  <c r="B35" i="3"/>
  <c r="Z34" i="3"/>
  <c r="X34" i="3"/>
  <c r="T34" i="3"/>
  <c r="P34" i="3"/>
  <c r="L34" i="3"/>
  <c r="N34" i="3" s="1"/>
  <c r="H34" i="3"/>
  <c r="D34" i="3"/>
  <c r="B34" i="3"/>
  <c r="T33" i="3"/>
  <c r="P33" i="3"/>
  <c r="X33" i="3" s="1"/>
  <c r="Z33" i="3" s="1"/>
  <c r="N33" i="3"/>
  <c r="H33" i="3"/>
  <c r="D33" i="3"/>
  <c r="L33" i="3" s="1"/>
  <c r="B33" i="3"/>
  <c r="T32" i="3"/>
  <c r="P32" i="3"/>
  <c r="X32" i="3" s="1"/>
  <c r="Z32" i="3" s="1"/>
  <c r="H32" i="3"/>
  <c r="D32" i="3"/>
  <c r="L32" i="3" s="1"/>
  <c r="B32" i="3"/>
  <c r="T31" i="3"/>
  <c r="P31" i="3"/>
  <c r="H31" i="3"/>
  <c r="D31" i="3"/>
  <c r="L31" i="3" s="1"/>
  <c r="B31" i="3"/>
  <c r="Z30" i="3"/>
  <c r="X30" i="3"/>
  <c r="T30" i="3"/>
  <c r="P30" i="3"/>
  <c r="H30" i="3"/>
  <c r="L30" i="3" s="1"/>
  <c r="D30" i="3"/>
  <c r="B30" i="3"/>
  <c r="Z29" i="3"/>
  <c r="T29" i="3"/>
  <c r="P29" i="3"/>
  <c r="X29" i="3" s="1"/>
  <c r="H29" i="3"/>
  <c r="D29" i="3"/>
  <c r="L29" i="3" s="1"/>
  <c r="N29" i="3" s="1"/>
  <c r="B29" i="3"/>
  <c r="T28" i="3"/>
  <c r="P28" i="3"/>
  <c r="X28" i="3" s="1"/>
  <c r="H28" i="3"/>
  <c r="D28" i="3"/>
  <c r="L28" i="3" s="1"/>
  <c r="N28" i="3" s="1"/>
  <c r="B28" i="3"/>
  <c r="T27" i="3"/>
  <c r="P27" i="3"/>
  <c r="L27" i="3"/>
  <c r="H27" i="3"/>
  <c r="D27" i="3"/>
  <c r="B27" i="3"/>
  <c r="T26" i="3"/>
  <c r="X26" i="3" s="1"/>
  <c r="P26" i="3"/>
  <c r="N26" i="3"/>
  <c r="L26" i="3"/>
  <c r="H26" i="3"/>
  <c r="D26" i="3"/>
  <c r="B26" i="3"/>
  <c r="T25" i="3"/>
  <c r="P25" i="3"/>
  <c r="X25" i="3" s="1"/>
  <c r="Z25" i="3" s="1"/>
  <c r="N25" i="3"/>
  <c r="H25" i="3"/>
  <c r="D25" i="3"/>
  <c r="L25" i="3" s="1"/>
  <c r="B25" i="3"/>
  <c r="T24" i="3"/>
  <c r="P24" i="3"/>
  <c r="H24" i="3"/>
  <c r="D24" i="3"/>
  <c r="B24" i="3"/>
  <c r="T23" i="3"/>
  <c r="P23" i="3"/>
  <c r="X23" i="3" s="1"/>
  <c r="H23" i="3"/>
  <c r="D23" i="3"/>
  <c r="B23" i="3"/>
  <c r="T22" i="3"/>
  <c r="P22" i="3"/>
  <c r="X22" i="3" s="1"/>
  <c r="L22" i="3"/>
  <c r="N22" i="3" s="1"/>
  <c r="H22" i="3"/>
  <c r="D22" i="3"/>
  <c r="B22" i="3"/>
  <c r="T21" i="3"/>
  <c r="P21" i="3"/>
  <c r="H21" i="3"/>
  <c r="D21" i="3"/>
  <c r="L21" i="3" s="1"/>
  <c r="N21" i="3" s="1"/>
  <c r="B21" i="3"/>
  <c r="T20" i="3"/>
  <c r="P20" i="3"/>
  <c r="X20" i="3" s="1"/>
  <c r="Z20" i="3" s="1"/>
  <c r="N20" i="3"/>
  <c r="H20" i="3"/>
  <c r="D20" i="3"/>
  <c r="L20" i="3" s="1"/>
  <c r="B20" i="3"/>
  <c r="T19" i="3"/>
  <c r="P19" i="3"/>
  <c r="X19" i="3" s="1"/>
  <c r="Z19" i="3" s="1"/>
  <c r="H19" i="3"/>
  <c r="D19" i="3"/>
  <c r="L19" i="3" s="1"/>
  <c r="B19" i="3"/>
  <c r="T18" i="3"/>
  <c r="P18" i="3"/>
  <c r="P12" i="3" s="1"/>
  <c r="H18" i="3"/>
  <c r="D18" i="3"/>
  <c r="L18" i="3" s="1"/>
  <c r="B18" i="3"/>
  <c r="T17" i="3"/>
  <c r="X17" i="3" s="1"/>
  <c r="P17" i="3"/>
  <c r="H17" i="3"/>
  <c r="D17" i="3"/>
  <c r="L17" i="3" s="1"/>
  <c r="B17" i="3"/>
  <c r="X16" i="3"/>
  <c r="Z16" i="3" s="1"/>
  <c r="T16" i="3"/>
  <c r="P16" i="3"/>
  <c r="H16" i="3"/>
  <c r="D16" i="3"/>
  <c r="L16" i="3" s="1"/>
  <c r="B16" i="3"/>
  <c r="T15" i="3"/>
  <c r="P15" i="3"/>
  <c r="X15" i="3" s="1"/>
  <c r="Z15" i="3" s="1"/>
  <c r="H15" i="3"/>
  <c r="D15" i="3"/>
  <c r="B15" i="3"/>
  <c r="T14" i="3"/>
  <c r="P14" i="3"/>
  <c r="X14" i="3" s="1"/>
  <c r="H14" i="3"/>
  <c r="D14" i="3"/>
  <c r="L14" i="3" s="1"/>
  <c r="N14" i="3" s="1"/>
  <c r="B14" i="3"/>
  <c r="T13" i="3"/>
  <c r="P13" i="3"/>
  <c r="X13" i="3" s="1"/>
  <c r="H13" i="3"/>
  <c r="L13" i="3" s="1"/>
  <c r="D13" i="3"/>
  <c r="D12" i="3" s="1"/>
  <c r="B13" i="3"/>
  <c r="D4" i="3"/>
  <c r="X25" i="8" l="1"/>
  <c r="X33" i="8"/>
  <c r="X25" i="100"/>
  <c r="X33" i="100"/>
  <c r="L13" i="44"/>
  <c r="L29" i="14"/>
  <c r="L21" i="16"/>
  <c r="X22" i="19"/>
  <c r="L29" i="25"/>
  <c r="L34" i="25"/>
  <c r="X16" i="26"/>
  <c r="X29" i="28"/>
  <c r="L20" i="29"/>
  <c r="L25" i="37"/>
  <c r="L33" i="37"/>
  <c r="X20" i="38"/>
  <c r="L20" i="43"/>
  <c r="X15" i="53"/>
  <c r="X20" i="100"/>
  <c r="L22" i="100"/>
  <c r="X21" i="5"/>
  <c r="L29" i="5"/>
  <c r="X21" i="7"/>
  <c r="L34" i="7"/>
  <c r="L13" i="34"/>
  <c r="X15" i="49"/>
  <c r="X34" i="38"/>
  <c r="X12" i="40"/>
  <c r="X29" i="10"/>
  <c r="L20" i="11"/>
  <c r="X13" i="13"/>
  <c r="L21" i="13"/>
  <c r="X33" i="13"/>
  <c r="L16" i="14"/>
  <c r="L24" i="49"/>
  <c r="L25" i="52"/>
  <c r="L33" i="52"/>
  <c r="L25" i="28"/>
  <c r="L25" i="40"/>
  <c r="X20" i="43"/>
  <c r="L22" i="43"/>
  <c r="X29" i="44"/>
  <c r="X34" i="44"/>
  <c r="R20" i="98"/>
  <c r="L29" i="10"/>
  <c r="X16" i="11"/>
  <c r="N12" i="16"/>
  <c r="X21" i="16"/>
  <c r="X25" i="20"/>
  <c r="X34" i="14"/>
  <c r="L29" i="35"/>
  <c r="X24" i="16"/>
  <c r="X25" i="22"/>
  <c r="X22" i="23"/>
  <c r="X15" i="26"/>
  <c r="X29" i="26"/>
  <c r="X22" i="28"/>
  <c r="X20" i="34"/>
  <c r="X25" i="38"/>
  <c r="L13" i="41"/>
  <c r="L25" i="41"/>
  <c r="L34" i="50"/>
  <c r="X13" i="52"/>
  <c r="L21" i="98"/>
  <c r="X13" i="4"/>
  <c r="X22" i="5"/>
  <c r="L33" i="5"/>
  <c r="L33" i="8"/>
  <c r="X29" i="17"/>
  <c r="X34" i="17"/>
  <c r="X15" i="19"/>
  <c r="L29" i="22"/>
  <c r="L16" i="25"/>
  <c r="X22" i="25"/>
  <c r="L13" i="26"/>
  <c r="X29" i="31"/>
  <c r="L24" i="40"/>
  <c r="X33" i="41"/>
  <c r="X16" i="4"/>
  <c r="L33" i="16"/>
  <c r="X34" i="20"/>
  <c r="L20" i="22"/>
  <c r="L15" i="23"/>
  <c r="L34" i="23"/>
  <c r="X21" i="28"/>
  <c r="L24" i="29"/>
  <c r="L21" i="34"/>
  <c r="X25" i="34"/>
  <c r="X33" i="34"/>
  <c r="X22" i="46"/>
  <c r="L25" i="11"/>
  <c r="V34" i="43"/>
  <c r="X22" i="11"/>
  <c r="L25" i="19"/>
  <c r="L33" i="19"/>
  <c r="X20" i="20"/>
  <c r="L22" i="20"/>
  <c r="X33" i="26"/>
  <c r="X21" i="29"/>
  <c r="L29" i="29"/>
  <c r="L34" i="29"/>
  <c r="L13" i="31"/>
  <c r="X15" i="32"/>
  <c r="X29" i="32"/>
  <c r="X34" i="32"/>
  <c r="L29" i="37"/>
  <c r="L34" i="37"/>
  <c r="X20" i="44"/>
  <c r="L20" i="49"/>
  <c r="L22" i="99"/>
  <c r="F18" i="100"/>
  <c r="X21" i="100"/>
  <c r="L16" i="4"/>
  <c r="X22" i="4"/>
  <c r="L13" i="5"/>
  <c r="X24" i="10"/>
  <c r="X25" i="17"/>
  <c r="L13" i="22"/>
  <c r="L22" i="23"/>
  <c r="L20" i="25"/>
  <c r="X29" i="29"/>
  <c r="X20" i="37"/>
  <c r="X34" i="37"/>
  <c r="L15" i="40"/>
  <c r="X21" i="40"/>
  <c r="L16" i="53"/>
  <c r="L21" i="53"/>
  <c r="X25" i="53"/>
  <c r="L16" i="99"/>
  <c r="X34" i="100"/>
  <c r="L13" i="49"/>
  <c r="L33" i="10"/>
  <c r="X20" i="11"/>
  <c r="L22" i="11"/>
  <c r="L24" i="13"/>
  <c r="X24" i="17"/>
  <c r="L25" i="25"/>
  <c r="X16" i="32"/>
  <c r="X15" i="34"/>
  <c r="X34" i="34"/>
  <c r="X24" i="35"/>
  <c r="X13" i="37"/>
  <c r="L21" i="37"/>
  <c r="X15" i="41"/>
  <c r="X29" i="41"/>
  <c r="X13" i="47"/>
  <c r="X33" i="49"/>
  <c r="L20" i="53"/>
  <c r="X24" i="53"/>
  <c r="L20" i="17"/>
  <c r="L21" i="20"/>
  <c r="X13" i="26"/>
  <c r="N16" i="53"/>
  <c r="X24" i="4"/>
  <c r="L21" i="7"/>
  <c r="X29" i="19"/>
  <c r="X22" i="50"/>
  <c r="X34" i="4"/>
  <c r="L15" i="5"/>
  <c r="L25" i="13"/>
  <c r="L16" i="17"/>
  <c r="L29" i="20"/>
  <c r="L20" i="26"/>
  <c r="L34" i="26"/>
  <c r="L25" i="38"/>
  <c r="L22" i="40"/>
  <c r="X34" i="40"/>
  <c r="X24" i="41"/>
  <c r="X21" i="43"/>
  <c r="X24" i="5"/>
  <c r="L20" i="47"/>
  <c r="L24" i="8"/>
  <c r="V31" i="26"/>
  <c r="L33" i="100"/>
  <c r="L22" i="5"/>
  <c r="X34" i="5"/>
  <c r="X20" i="16"/>
  <c r="X29" i="16"/>
  <c r="X34" i="16"/>
  <c r="L24" i="19"/>
  <c r="L25" i="20"/>
  <c r="L22" i="22"/>
  <c r="X15" i="23"/>
  <c r="X29" i="23"/>
  <c r="L24" i="28"/>
  <c r="L24" i="31"/>
  <c r="X33" i="31"/>
  <c r="L16" i="32"/>
  <c r="X22" i="32"/>
  <c r="L15" i="34"/>
  <c r="X21" i="34"/>
  <c r="L29" i="34"/>
  <c r="X25" i="40"/>
  <c r="X33" i="40"/>
  <c r="X16" i="46"/>
  <c r="L24" i="46"/>
  <c r="L16" i="47"/>
  <c r="L25" i="49"/>
  <c r="X20" i="50"/>
  <c r="X24" i="50"/>
  <c r="X16" i="52"/>
  <c r="X25" i="52"/>
  <c r="X33" i="52"/>
  <c r="F20" i="99"/>
  <c r="X24" i="99"/>
  <c r="R20" i="11"/>
  <c r="V25" i="16"/>
  <c r="X21" i="20"/>
  <c r="L20" i="31"/>
  <c r="V29" i="50"/>
  <c r="L24" i="52"/>
  <c r="L13" i="53"/>
  <c r="L25" i="53"/>
  <c r="L33" i="53"/>
  <c r="X20" i="99"/>
  <c r="L13" i="4"/>
  <c r="L22" i="4"/>
  <c r="L24" i="7"/>
  <c r="X25" i="7"/>
  <c r="X33" i="7"/>
  <c r="X20" i="8"/>
  <c r="X34" i="8"/>
  <c r="L29" i="13"/>
  <c r="X13" i="14"/>
  <c r="L21" i="14"/>
  <c r="X25" i="14"/>
  <c r="L29" i="16"/>
  <c r="L34" i="16"/>
  <c r="L21" i="17"/>
  <c r="L25" i="17"/>
  <c r="L33" i="17"/>
  <c r="L22" i="19"/>
  <c r="X33" i="20"/>
  <c r="L25" i="22"/>
  <c r="X16" i="25"/>
  <c r="X25" i="25"/>
  <c r="X20" i="28"/>
  <c r="X34" i="31"/>
  <c r="L20" i="32"/>
  <c r="X24" i="32"/>
  <c r="L25" i="34"/>
  <c r="L33" i="34"/>
  <c r="L22" i="35"/>
  <c r="X34" i="35"/>
  <c r="X33" i="37"/>
  <c r="X29" i="38"/>
  <c r="X34" i="41"/>
  <c r="L34" i="43"/>
  <c r="L16" i="44"/>
  <c r="L20" i="46"/>
  <c r="X16" i="47"/>
  <c r="X22" i="47"/>
  <c r="L22" i="49"/>
  <c r="X16" i="50"/>
  <c r="L21" i="50"/>
  <c r="L29" i="52"/>
  <c r="X22" i="53"/>
  <c r="X16" i="98"/>
  <c r="X29" i="98"/>
  <c r="X34" i="98"/>
  <c r="L33" i="99"/>
  <c r="L29" i="100"/>
  <c r="L29" i="7"/>
  <c r="L34" i="13"/>
  <c r="F24" i="17"/>
  <c r="L13" i="20"/>
  <c r="L25" i="43"/>
  <c r="X34" i="43"/>
  <c r="L21" i="44"/>
  <c r="X25" i="44"/>
  <c r="X25" i="47"/>
  <c r="X33" i="47"/>
  <c r="N13" i="49"/>
  <c r="X22" i="49"/>
  <c r="L20" i="50"/>
  <c r="L13" i="52"/>
  <c r="X20" i="52"/>
  <c r="L15" i="53"/>
  <c r="X16" i="53"/>
  <c r="X24" i="100"/>
  <c r="L21" i="4"/>
  <c r="X15" i="7"/>
  <c r="X16" i="8"/>
  <c r="X22" i="8"/>
  <c r="L15" i="11"/>
  <c r="L22" i="13"/>
  <c r="X29" i="13"/>
  <c r="X34" i="13"/>
  <c r="X24" i="14"/>
  <c r="X22" i="16"/>
  <c r="L25" i="16"/>
  <c r="X33" i="19"/>
  <c r="L16" i="20"/>
  <c r="X29" i="20"/>
  <c r="X21" i="22"/>
  <c r="L13" i="23"/>
  <c r="L33" i="23"/>
  <c r="L21" i="26"/>
  <c r="X25" i="26"/>
  <c r="L15" i="28"/>
  <c r="L25" i="29"/>
  <c r="L33" i="29"/>
  <c r="L21" i="31"/>
  <c r="X25" i="31"/>
  <c r="X16" i="34"/>
  <c r="L24" i="34"/>
  <c r="L21" i="35"/>
  <c r="X25" i="35"/>
  <c r="L15" i="38"/>
  <c r="X22" i="38"/>
  <c r="R31" i="38"/>
  <c r="X24" i="40"/>
  <c r="L29" i="40"/>
  <c r="X25" i="41"/>
  <c r="L16" i="43"/>
  <c r="X22" i="43"/>
  <c r="L33" i="43"/>
  <c r="L24" i="44"/>
  <c r="X33" i="44"/>
  <c r="L24" i="47"/>
  <c r="L21" i="49"/>
  <c r="X25" i="49"/>
  <c r="L13" i="50"/>
  <c r="L29" i="50"/>
  <c r="X21" i="53"/>
  <c r="L34" i="53"/>
  <c r="L20" i="98"/>
  <c r="R22" i="98"/>
  <c r="X21" i="99"/>
  <c r="F27" i="99"/>
  <c r="L16" i="100"/>
  <c r="L15" i="4"/>
  <c r="X34" i="7"/>
  <c r="X21" i="8"/>
  <c r="L29" i="11"/>
  <c r="L16" i="13"/>
  <c r="X22" i="13"/>
  <c r="L24" i="16"/>
  <c r="L22" i="17"/>
  <c r="L15" i="19"/>
  <c r="X22" i="20"/>
  <c r="L33" i="20"/>
  <c r="X15" i="22"/>
  <c r="V33" i="22"/>
  <c r="X25" i="23"/>
  <c r="L13" i="25"/>
  <c r="L22" i="25"/>
  <c r="X29" i="25"/>
  <c r="X21" i="26"/>
  <c r="L20" i="28"/>
  <c r="L34" i="28"/>
  <c r="D18" i="29"/>
  <c r="D27" i="29" s="1"/>
  <c r="X33" i="29"/>
  <c r="X13" i="32"/>
  <c r="X25" i="32"/>
  <c r="L15" i="35"/>
  <c r="X21" i="35"/>
  <c r="F27" i="35"/>
  <c r="L13" i="37"/>
  <c r="L20" i="38"/>
  <c r="L21" i="38"/>
  <c r="L24" i="38"/>
  <c r="X21" i="41"/>
  <c r="X24" i="44"/>
  <c r="L21" i="46"/>
  <c r="X25" i="46"/>
  <c r="X20" i="47"/>
  <c r="X24" i="47"/>
  <c r="L15" i="49"/>
  <c r="X21" i="49"/>
  <c r="X29" i="50"/>
  <c r="X29" i="53"/>
  <c r="X20" i="98"/>
  <c r="L33" i="11"/>
  <c r="L21" i="8"/>
  <c r="J22" i="11"/>
  <c r="J34" i="11"/>
  <c r="J29" i="11"/>
  <c r="J25" i="11"/>
  <c r="J31" i="11"/>
  <c r="J21" i="11"/>
  <c r="J18" i="11"/>
  <c r="J15" i="11"/>
  <c r="J36" i="11"/>
  <c r="J33" i="11"/>
  <c r="J22" i="32"/>
  <c r="J29" i="32"/>
  <c r="J25" i="5"/>
  <c r="X20" i="7"/>
  <c r="R25" i="7"/>
  <c r="R20" i="10"/>
  <c r="J24" i="10"/>
  <c r="L24" i="14"/>
  <c r="X13" i="19"/>
  <c r="R20" i="19"/>
  <c r="X13" i="20"/>
  <c r="J25" i="22"/>
  <c r="X20" i="25"/>
  <c r="R16" i="26"/>
  <c r="R36" i="26"/>
  <c r="X15" i="29"/>
  <c r="R18" i="29"/>
  <c r="L22" i="29"/>
  <c r="F29" i="29"/>
  <c r="X22" i="31"/>
  <c r="J31" i="31"/>
  <c r="V33" i="32"/>
  <c r="P18" i="37"/>
  <c r="P27" i="37" s="1"/>
  <c r="P31" i="37" s="1"/>
  <c r="P36" i="37" s="1"/>
  <c r="V15" i="38"/>
  <c r="L20" i="41"/>
  <c r="V15" i="43"/>
  <c r="L29" i="43"/>
  <c r="R16" i="44"/>
  <c r="V29" i="46"/>
  <c r="J22" i="47"/>
  <c r="X29" i="47"/>
  <c r="X16" i="49"/>
  <c r="V15" i="50"/>
  <c r="L24" i="50"/>
  <c r="X25" i="50"/>
  <c r="N12" i="53"/>
  <c r="R16" i="98"/>
  <c r="L24" i="98"/>
  <c r="Z20" i="99"/>
  <c r="F22" i="99"/>
  <c r="X13" i="100"/>
  <c r="F16" i="100"/>
  <c r="J24" i="100"/>
  <c r="J22" i="20"/>
  <c r="L16" i="5"/>
  <c r="J24" i="5"/>
  <c r="L16" i="8"/>
  <c r="X20" i="10"/>
  <c r="V25" i="13"/>
  <c r="F16" i="14"/>
  <c r="X20" i="14"/>
  <c r="N24" i="14"/>
  <c r="Z12" i="16"/>
  <c r="V16" i="16"/>
  <c r="J36" i="25"/>
  <c r="L16" i="28"/>
  <c r="L22" i="37"/>
  <c r="F31" i="49"/>
  <c r="V20" i="98"/>
  <c r="R22" i="4"/>
  <c r="L15" i="10"/>
  <c r="R16" i="10"/>
  <c r="X12" i="11"/>
  <c r="X29" i="11"/>
  <c r="L12" i="13"/>
  <c r="V36" i="13"/>
  <c r="F15" i="14"/>
  <c r="R15" i="16"/>
  <c r="D18" i="17"/>
  <c r="D27" i="17" s="1"/>
  <c r="F22" i="17"/>
  <c r="Z12" i="20"/>
  <c r="X13" i="22"/>
  <c r="L16" i="22"/>
  <c r="X20" i="22"/>
  <c r="R31" i="22"/>
  <c r="F22" i="25"/>
  <c r="R15" i="26"/>
  <c r="V27" i="26"/>
  <c r="F18" i="31"/>
  <c r="Z12" i="32"/>
  <c r="F15" i="32"/>
  <c r="V29" i="32"/>
  <c r="X22" i="35"/>
  <c r="X29" i="37"/>
  <c r="L16" i="38"/>
  <c r="X33" i="38"/>
  <c r="X15" i="40"/>
  <c r="J24" i="40"/>
  <c r="R15" i="44"/>
  <c r="V18" i="44"/>
  <c r="X15" i="46"/>
  <c r="F18" i="46"/>
  <c r="L33" i="49"/>
  <c r="L12" i="50"/>
  <c r="X13" i="50"/>
  <c r="L16" i="50"/>
  <c r="L22" i="50"/>
  <c r="L29" i="98"/>
  <c r="X15" i="99"/>
  <c r="L20" i="99"/>
  <c r="L21" i="99"/>
  <c r="X22" i="99"/>
  <c r="L25" i="99"/>
  <c r="L15" i="100"/>
  <c r="R18" i="4"/>
  <c r="Z12" i="5"/>
  <c r="J27" i="5"/>
  <c r="J34" i="5"/>
  <c r="X24" i="11"/>
  <c r="R25" i="11"/>
  <c r="N12" i="13"/>
  <c r="R16" i="19"/>
  <c r="X25" i="19"/>
  <c r="X15" i="20"/>
  <c r="F18" i="20"/>
  <c r="V20" i="20"/>
  <c r="V21" i="20"/>
  <c r="V29" i="20"/>
  <c r="R34" i="22"/>
  <c r="V31" i="23"/>
  <c r="J29" i="25"/>
  <c r="X33" i="25"/>
  <c r="X24" i="26"/>
  <c r="Z20" i="28"/>
  <c r="L16" i="29"/>
  <c r="X20" i="29"/>
  <c r="R21" i="29"/>
  <c r="F25" i="29"/>
  <c r="V16" i="32"/>
  <c r="V21" i="32"/>
  <c r="V15" i="34"/>
  <c r="L25" i="35"/>
  <c r="X29" i="35"/>
  <c r="V21" i="41"/>
  <c r="X33" i="46"/>
  <c r="L29" i="49"/>
  <c r="F36" i="49"/>
  <c r="N12" i="50"/>
  <c r="F22" i="50"/>
  <c r="V21" i="53"/>
  <c r="F31" i="53"/>
  <c r="L13" i="98"/>
  <c r="L20" i="4"/>
  <c r="X25" i="4"/>
  <c r="J15" i="5"/>
  <c r="J21" i="5"/>
  <c r="V27" i="5"/>
  <c r="V16" i="7"/>
  <c r="R36" i="7"/>
  <c r="V20" i="8"/>
  <c r="L13" i="11"/>
  <c r="X22" i="14"/>
  <c r="X29" i="14"/>
  <c r="V16" i="17"/>
  <c r="H18" i="20"/>
  <c r="H27" i="20" s="1"/>
  <c r="V25" i="20"/>
  <c r="X20" i="26"/>
  <c r="V21" i="31"/>
  <c r="D18" i="32"/>
  <c r="D27" i="32" s="1"/>
  <c r="V25" i="32"/>
  <c r="V21" i="34"/>
  <c r="J24" i="34"/>
  <c r="V33" i="38"/>
  <c r="L16" i="41"/>
  <c r="V20" i="41"/>
  <c r="V31" i="41"/>
  <c r="F29" i="49"/>
  <c r="X20" i="53"/>
  <c r="F36" i="53"/>
  <c r="F16" i="4"/>
  <c r="L13" i="7"/>
  <c r="R15" i="7"/>
  <c r="R18" i="7"/>
  <c r="R22" i="7"/>
  <c r="X29" i="7"/>
  <c r="Z12" i="8"/>
  <c r="V16" i="8"/>
  <c r="N24" i="8"/>
  <c r="L13" i="10"/>
  <c r="F20" i="10"/>
  <c r="L21" i="10"/>
  <c r="L34" i="10"/>
  <c r="V16" i="13"/>
  <c r="J21" i="13"/>
  <c r="J34" i="13"/>
  <c r="R22" i="14"/>
  <c r="L13" i="19"/>
  <c r="R15" i="19"/>
  <c r="V15" i="20"/>
  <c r="T18" i="20"/>
  <c r="T27" i="20" s="1"/>
  <c r="F15" i="22"/>
  <c r="X22" i="22"/>
  <c r="F29" i="22"/>
  <c r="X34" i="22"/>
  <c r="J25" i="25"/>
  <c r="L21" i="28"/>
  <c r="X16" i="29"/>
  <c r="F33" i="29"/>
  <c r="X13" i="31"/>
  <c r="X20" i="31"/>
  <c r="T18" i="32"/>
  <c r="T27" i="32" s="1"/>
  <c r="V20" i="32"/>
  <c r="R24" i="32"/>
  <c r="J33" i="32"/>
  <c r="V36" i="32"/>
  <c r="F31" i="35"/>
  <c r="X16" i="37"/>
  <c r="Z12" i="38"/>
  <c r="J15" i="38"/>
  <c r="X13" i="40"/>
  <c r="F21" i="43"/>
  <c r="L16" i="46"/>
  <c r="L22" i="52"/>
  <c r="L34" i="52"/>
  <c r="F16" i="99"/>
  <c r="F24" i="99"/>
  <c r="L24" i="4"/>
  <c r="L29" i="4"/>
  <c r="X33" i="5"/>
  <c r="R29" i="7"/>
  <c r="J34" i="7"/>
  <c r="X24" i="8"/>
  <c r="X21" i="10"/>
  <c r="F34" i="10"/>
  <c r="X21" i="11"/>
  <c r="R15" i="13"/>
  <c r="L20" i="13"/>
  <c r="N34" i="13"/>
  <c r="R21" i="14"/>
  <c r="L13" i="17"/>
  <c r="X21" i="17"/>
  <c r="L34" i="19"/>
  <c r="V18" i="20"/>
  <c r="V27" i="20"/>
  <c r="J33" i="20"/>
  <c r="V34" i="20"/>
  <c r="R22" i="22"/>
  <c r="F36" i="22"/>
  <c r="X33" i="23"/>
  <c r="L24" i="25"/>
  <c r="X22" i="26"/>
  <c r="L25" i="26"/>
  <c r="X34" i="26"/>
  <c r="L13" i="28"/>
  <c r="R15" i="28"/>
  <c r="R18" i="28"/>
  <c r="X34" i="28"/>
  <c r="F15" i="29"/>
  <c r="R16" i="29"/>
  <c r="X24" i="29"/>
  <c r="L22" i="31"/>
  <c r="L34" i="31"/>
  <c r="V18" i="32"/>
  <c r="X33" i="32"/>
  <c r="X29" i="34"/>
  <c r="L33" i="35"/>
  <c r="V34" i="35"/>
  <c r="L15" i="37"/>
  <c r="X21" i="37"/>
  <c r="L24" i="37"/>
  <c r="L21" i="40"/>
  <c r="X22" i="40"/>
  <c r="X29" i="40"/>
  <c r="L21" i="41"/>
  <c r="L29" i="41"/>
  <c r="V34" i="41"/>
  <c r="X15" i="43"/>
  <c r="L34" i="44"/>
  <c r="X13" i="46"/>
  <c r="X29" i="46"/>
  <c r="L34" i="46"/>
  <c r="L22" i="47"/>
  <c r="L29" i="47"/>
  <c r="L34" i="47"/>
  <c r="X13" i="49"/>
  <c r="X29" i="49"/>
  <c r="X34" i="50"/>
  <c r="L15" i="52"/>
  <c r="L22" i="53"/>
  <c r="L15" i="99"/>
  <c r="R20" i="99"/>
  <c r="L24" i="100"/>
  <c r="R20" i="8"/>
  <c r="R29" i="8"/>
  <c r="V21" i="14"/>
  <c r="V34" i="14"/>
  <c r="V27" i="14"/>
  <c r="V31" i="14"/>
  <c r="V22" i="14"/>
  <c r="V16" i="14"/>
  <c r="J22" i="17"/>
  <c r="J24" i="17"/>
  <c r="N29" i="17"/>
  <c r="L29" i="17"/>
  <c r="N24" i="26"/>
  <c r="L24" i="26"/>
  <c r="Z13" i="53"/>
  <c r="X13" i="53"/>
  <c r="N13" i="100"/>
  <c r="L13" i="100"/>
  <c r="Z12" i="4"/>
  <c r="V20" i="4"/>
  <c r="X21" i="4"/>
  <c r="R25" i="4"/>
  <c r="L33" i="4"/>
  <c r="L20" i="5"/>
  <c r="X24" i="7"/>
  <c r="V36" i="7"/>
  <c r="X13" i="8"/>
  <c r="R29" i="13"/>
  <c r="X12" i="14"/>
  <c r="V20" i="14"/>
  <c r="X16" i="17"/>
  <c r="Z16" i="17"/>
  <c r="F24" i="23"/>
  <c r="F22" i="23"/>
  <c r="F18" i="23"/>
  <c r="F34" i="23"/>
  <c r="F27" i="23"/>
  <c r="Z13" i="25"/>
  <c r="X13" i="25"/>
  <c r="X20" i="4"/>
  <c r="F16" i="5"/>
  <c r="L21" i="5"/>
  <c r="L25" i="5"/>
  <c r="F31" i="5"/>
  <c r="X16" i="7"/>
  <c r="R22" i="8"/>
  <c r="R25" i="8"/>
  <c r="R15" i="10"/>
  <c r="X16" i="10"/>
  <c r="V20" i="10"/>
  <c r="R21" i="10"/>
  <c r="X22" i="10"/>
  <c r="R29" i="11"/>
  <c r="V15" i="13"/>
  <c r="X16" i="13"/>
  <c r="J27" i="13"/>
  <c r="Z12" i="14"/>
  <c r="R18" i="14"/>
  <c r="Z20" i="14"/>
  <c r="L15" i="22"/>
  <c r="D18" i="22"/>
  <c r="Z15" i="31"/>
  <c r="X15" i="31"/>
  <c r="J31" i="5"/>
  <c r="V34" i="5"/>
  <c r="X13" i="7"/>
  <c r="V15" i="7"/>
  <c r="R21" i="7"/>
  <c r="V25" i="7"/>
  <c r="R33" i="7"/>
  <c r="L15" i="8"/>
  <c r="F16" i="8"/>
  <c r="R18" i="8"/>
  <c r="X13" i="10"/>
  <c r="R18" i="10"/>
  <c r="Z20" i="10"/>
  <c r="R22" i="10"/>
  <c r="F27" i="10"/>
  <c r="X13" i="11"/>
  <c r="X15" i="11"/>
  <c r="H18" i="11"/>
  <c r="H27" i="11" s="1"/>
  <c r="J27" i="11"/>
  <c r="X33" i="11"/>
  <c r="X12" i="13"/>
  <c r="D18" i="13"/>
  <c r="D27" i="13" s="1"/>
  <c r="J24" i="13"/>
  <c r="F25" i="13"/>
  <c r="V27" i="13"/>
  <c r="V29" i="13"/>
  <c r="R33" i="13"/>
  <c r="L20" i="14"/>
  <c r="N21" i="25"/>
  <c r="L21" i="25"/>
  <c r="F20" i="4"/>
  <c r="X33" i="4"/>
  <c r="N12" i="5"/>
  <c r="X25" i="5"/>
  <c r="J29" i="5"/>
  <c r="V31" i="5"/>
  <c r="P18" i="7"/>
  <c r="P27" i="7" s="1"/>
  <c r="V22" i="7"/>
  <c r="J27" i="7"/>
  <c r="V29" i="7"/>
  <c r="L13" i="8"/>
  <c r="L20" i="8"/>
  <c r="L29" i="8"/>
  <c r="L20" i="10"/>
  <c r="R33" i="11"/>
  <c r="Z12" i="13"/>
  <c r="L15" i="13"/>
  <c r="P18" i="13"/>
  <c r="P27" i="13" s="1"/>
  <c r="J22" i="13"/>
  <c r="J31" i="13"/>
  <c r="V34" i="13"/>
  <c r="L13" i="14"/>
  <c r="J16" i="14"/>
  <c r="F20" i="14"/>
  <c r="Z21" i="19"/>
  <c r="X21" i="19"/>
  <c r="N21" i="22"/>
  <c r="L21" i="22"/>
  <c r="F36" i="26"/>
  <c r="F18" i="26"/>
  <c r="N13" i="35"/>
  <c r="L13" i="35"/>
  <c r="R16" i="4"/>
  <c r="J24" i="4"/>
  <c r="L25" i="4"/>
  <c r="R33" i="4"/>
  <c r="R36" i="4"/>
  <c r="V20" i="5"/>
  <c r="L34" i="5"/>
  <c r="X12" i="7"/>
  <c r="L15" i="7"/>
  <c r="L25" i="7"/>
  <c r="V27" i="7"/>
  <c r="J31" i="7"/>
  <c r="V33" i="7"/>
  <c r="V34" i="7"/>
  <c r="F20" i="8"/>
  <c r="L12" i="10"/>
  <c r="L16" i="10"/>
  <c r="X34" i="10"/>
  <c r="P18" i="11"/>
  <c r="L21" i="11"/>
  <c r="R18" i="13"/>
  <c r="V20" i="13"/>
  <c r="X21" i="13"/>
  <c r="X24" i="13"/>
  <c r="F29" i="13"/>
  <c r="V31" i="13"/>
  <c r="V33" i="13"/>
  <c r="F21" i="14"/>
  <c r="F27" i="14"/>
  <c r="F34" i="14"/>
  <c r="F31" i="14"/>
  <c r="F22" i="14"/>
  <c r="N29" i="19"/>
  <c r="L29" i="19"/>
  <c r="Z24" i="23"/>
  <c r="X24" i="23"/>
  <c r="T18" i="25"/>
  <c r="Z18" i="25" s="1"/>
  <c r="Z15" i="25"/>
  <c r="J24" i="31"/>
  <c r="J15" i="31"/>
  <c r="J36" i="31"/>
  <c r="J22" i="31"/>
  <c r="J33" i="31"/>
  <c r="J29" i="31"/>
  <c r="J25" i="31"/>
  <c r="J18" i="31"/>
  <c r="J34" i="31"/>
  <c r="N12" i="31"/>
  <c r="R15" i="4"/>
  <c r="X29" i="4"/>
  <c r="V16" i="5"/>
  <c r="V21" i="5"/>
  <c r="F34" i="5"/>
  <c r="J36" i="5"/>
  <c r="Z12" i="7"/>
  <c r="T18" i="7"/>
  <c r="T27" i="7" s="1"/>
  <c r="T31" i="7" s="1"/>
  <c r="T36" i="7" s="1"/>
  <c r="Z36" i="7" s="1"/>
  <c r="V31" i="7"/>
  <c r="R16" i="8"/>
  <c r="L22" i="8"/>
  <c r="J24" i="8"/>
  <c r="L25" i="8"/>
  <c r="R33" i="8"/>
  <c r="R36" i="8"/>
  <c r="L25" i="10"/>
  <c r="T18" i="13"/>
  <c r="T27" i="13" s="1"/>
  <c r="X20" i="13"/>
  <c r="R21" i="13"/>
  <c r="R22" i="13"/>
  <c r="R24" i="13"/>
  <c r="X25" i="13"/>
  <c r="L33" i="13"/>
  <c r="R15" i="14"/>
  <c r="R16" i="14"/>
  <c r="Z16" i="16"/>
  <c r="X16" i="16"/>
  <c r="Z34" i="25"/>
  <c r="X34" i="25"/>
  <c r="V33" i="29"/>
  <c r="V25" i="29"/>
  <c r="X12" i="29"/>
  <c r="Z13" i="34"/>
  <c r="X13" i="34"/>
  <c r="V16" i="4"/>
  <c r="R20" i="4"/>
  <c r="R29" i="4"/>
  <c r="X12" i="5"/>
  <c r="H18" i="5"/>
  <c r="F27" i="5"/>
  <c r="X29" i="5"/>
  <c r="J33" i="5"/>
  <c r="L22" i="7"/>
  <c r="L33" i="7"/>
  <c r="R15" i="8"/>
  <c r="X29" i="8"/>
  <c r="J16" i="10"/>
  <c r="L22" i="10"/>
  <c r="L16" i="11"/>
  <c r="X25" i="11"/>
  <c r="L34" i="11"/>
  <c r="X15" i="13"/>
  <c r="V18" i="13"/>
  <c r="R25" i="13"/>
  <c r="F33" i="13"/>
  <c r="R36" i="13"/>
  <c r="X16" i="14"/>
  <c r="R20" i="14"/>
  <c r="X21" i="14"/>
  <c r="Z13" i="17"/>
  <c r="X13" i="17"/>
  <c r="R34" i="34"/>
  <c r="R15" i="34"/>
  <c r="R22" i="34"/>
  <c r="R25" i="34"/>
  <c r="R29" i="34"/>
  <c r="R36" i="34"/>
  <c r="R33" i="34"/>
  <c r="J20" i="35"/>
  <c r="J34" i="35"/>
  <c r="J31" i="35"/>
  <c r="J24" i="35"/>
  <c r="J22" i="35"/>
  <c r="J27" i="35"/>
  <c r="N12" i="35"/>
  <c r="X13" i="16"/>
  <c r="R29" i="16"/>
  <c r="R36" i="16"/>
  <c r="F24" i="19"/>
  <c r="V15" i="25"/>
  <c r="J22" i="26"/>
  <c r="F20" i="28"/>
  <c r="F29" i="28"/>
  <c r="V18" i="34"/>
  <c r="J22" i="43"/>
  <c r="H18" i="43"/>
  <c r="N18" i="43" s="1"/>
  <c r="J25" i="43"/>
  <c r="J15" i="43"/>
  <c r="J33" i="43"/>
  <c r="J36" i="43"/>
  <c r="J29" i="43"/>
  <c r="L21" i="52"/>
  <c r="Z13" i="16"/>
  <c r="V15" i="16"/>
  <c r="V20" i="16"/>
  <c r="J34" i="16"/>
  <c r="V36" i="16"/>
  <c r="L24" i="17"/>
  <c r="X16" i="19"/>
  <c r="X20" i="19"/>
  <c r="F16" i="20"/>
  <c r="J27" i="20"/>
  <c r="F16" i="22"/>
  <c r="H18" i="22"/>
  <c r="J36" i="22"/>
  <c r="N12" i="23"/>
  <c r="V22" i="23"/>
  <c r="V27" i="23"/>
  <c r="Z12" i="25"/>
  <c r="L15" i="25"/>
  <c r="V16" i="25"/>
  <c r="N12" i="26"/>
  <c r="J21" i="26"/>
  <c r="J34" i="26"/>
  <c r="V15" i="28"/>
  <c r="X16" i="28"/>
  <c r="L15" i="29"/>
  <c r="J15" i="32"/>
  <c r="F16" i="32"/>
  <c r="F18" i="32"/>
  <c r="X20" i="32"/>
  <c r="R21" i="32"/>
  <c r="Z12" i="34"/>
  <c r="L22" i="34"/>
  <c r="R20" i="35"/>
  <c r="R33" i="35"/>
  <c r="R29" i="35"/>
  <c r="R36" i="35"/>
  <c r="V15" i="35"/>
  <c r="V16" i="35"/>
  <c r="Z25" i="98"/>
  <c r="X25" i="98"/>
  <c r="X12" i="16"/>
  <c r="L15" i="16"/>
  <c r="P18" i="16"/>
  <c r="P27" i="16" s="1"/>
  <c r="R21" i="16"/>
  <c r="J27" i="16"/>
  <c r="V29" i="16"/>
  <c r="X33" i="16"/>
  <c r="Z12" i="17"/>
  <c r="F15" i="17"/>
  <c r="F16" i="17"/>
  <c r="F18" i="17"/>
  <c r="R20" i="17"/>
  <c r="J15" i="20"/>
  <c r="J15" i="22"/>
  <c r="V20" i="22"/>
  <c r="J29" i="22"/>
  <c r="F33" i="22"/>
  <c r="V36" i="22"/>
  <c r="R18" i="23"/>
  <c r="L21" i="23"/>
  <c r="F15" i="25"/>
  <c r="V20" i="25"/>
  <c r="X21" i="25"/>
  <c r="R24" i="26"/>
  <c r="R25" i="26"/>
  <c r="V16" i="28"/>
  <c r="J20" i="28"/>
  <c r="F22" i="28"/>
  <c r="R33" i="28"/>
  <c r="L21" i="29"/>
  <c r="V24" i="35"/>
  <c r="V29" i="35"/>
  <c r="V36" i="35"/>
  <c r="V31" i="35"/>
  <c r="V33" i="35"/>
  <c r="R18" i="35"/>
  <c r="X33" i="35"/>
  <c r="X33" i="50"/>
  <c r="T18" i="16"/>
  <c r="T27" i="16" s="1"/>
  <c r="T31" i="16" s="1"/>
  <c r="V27" i="16"/>
  <c r="R33" i="16"/>
  <c r="R18" i="17"/>
  <c r="X20" i="17"/>
  <c r="R21" i="17"/>
  <c r="X22" i="17"/>
  <c r="N24" i="17"/>
  <c r="J18" i="19"/>
  <c r="L20" i="20"/>
  <c r="J31" i="20"/>
  <c r="L12" i="22"/>
  <c r="T18" i="22"/>
  <c r="T27" i="22" s="1"/>
  <c r="T31" i="22" s="1"/>
  <c r="V21" i="22"/>
  <c r="V25" i="22"/>
  <c r="V18" i="23"/>
  <c r="H18" i="25"/>
  <c r="H27" i="25" s="1"/>
  <c r="V25" i="25"/>
  <c r="R20" i="26"/>
  <c r="R22" i="26"/>
  <c r="R29" i="26"/>
  <c r="Z16" i="28"/>
  <c r="R29" i="28"/>
  <c r="F22" i="29"/>
  <c r="X25" i="29"/>
  <c r="V18" i="31"/>
  <c r="L12" i="32"/>
  <c r="F36" i="32"/>
  <c r="X12" i="35"/>
  <c r="L16" i="35"/>
  <c r="T18" i="35"/>
  <c r="V20" i="35"/>
  <c r="R21" i="35"/>
  <c r="R22" i="35"/>
  <c r="R24" i="35"/>
  <c r="R20" i="41"/>
  <c r="R33" i="41"/>
  <c r="R25" i="41"/>
  <c r="R24" i="41"/>
  <c r="R36" i="41"/>
  <c r="R29" i="41"/>
  <c r="P18" i="41"/>
  <c r="P27" i="41" s="1"/>
  <c r="X12" i="41"/>
  <c r="F36" i="44"/>
  <c r="F18" i="44"/>
  <c r="L22" i="14"/>
  <c r="L33" i="14"/>
  <c r="J15" i="16"/>
  <c r="V18" i="16"/>
  <c r="J31" i="16"/>
  <c r="L15" i="17"/>
  <c r="V20" i="17"/>
  <c r="R22" i="17"/>
  <c r="L16" i="19"/>
  <c r="X24" i="19"/>
  <c r="N12" i="20"/>
  <c r="X16" i="20"/>
  <c r="F20" i="20"/>
  <c r="F21" i="20"/>
  <c r="L24" i="20"/>
  <c r="J25" i="20"/>
  <c r="V31" i="20"/>
  <c r="L34" i="20"/>
  <c r="J36" i="20"/>
  <c r="X16" i="22"/>
  <c r="L24" i="22"/>
  <c r="X29" i="22"/>
  <c r="J33" i="22"/>
  <c r="X12" i="23"/>
  <c r="L16" i="23"/>
  <c r="L20" i="23"/>
  <c r="J21" i="23"/>
  <c r="X34" i="23"/>
  <c r="J15" i="25"/>
  <c r="F16" i="25"/>
  <c r="V21" i="25"/>
  <c r="L33" i="25"/>
  <c r="X12" i="26"/>
  <c r="Z13" i="26"/>
  <c r="L16" i="26"/>
  <c r="P18" i="26"/>
  <c r="P27" i="26" s="1"/>
  <c r="P31" i="26" s="1"/>
  <c r="P36" i="26" s="1"/>
  <c r="R33" i="26"/>
  <c r="X12" i="28"/>
  <c r="F16" i="28"/>
  <c r="F18" i="28"/>
  <c r="X24" i="28"/>
  <c r="R25" i="28"/>
  <c r="R15" i="29"/>
  <c r="R20" i="29"/>
  <c r="R25" i="29"/>
  <c r="R29" i="29"/>
  <c r="R33" i="29"/>
  <c r="X34" i="29"/>
  <c r="L16" i="31"/>
  <c r="F21" i="31"/>
  <c r="N12" i="32"/>
  <c r="V15" i="32"/>
  <c r="L24" i="32"/>
  <c r="F25" i="32"/>
  <c r="J36" i="32"/>
  <c r="X24" i="34"/>
  <c r="J31" i="34"/>
  <c r="J34" i="34"/>
  <c r="Z12" i="35"/>
  <c r="V18" i="35"/>
  <c r="R25" i="35"/>
  <c r="J21" i="43"/>
  <c r="X25" i="16"/>
  <c r="V31" i="16"/>
  <c r="V33" i="16"/>
  <c r="V34" i="16"/>
  <c r="X15" i="17"/>
  <c r="F20" i="17"/>
  <c r="Z20" i="17"/>
  <c r="R24" i="17"/>
  <c r="J15" i="19"/>
  <c r="J29" i="20"/>
  <c r="V15" i="22"/>
  <c r="F20" i="22"/>
  <c r="F25" i="22"/>
  <c r="L33" i="22"/>
  <c r="Z12" i="23"/>
  <c r="J22" i="23"/>
  <c r="F20" i="25"/>
  <c r="V22" i="25"/>
  <c r="Z12" i="26"/>
  <c r="R18" i="26"/>
  <c r="J27" i="26"/>
  <c r="V34" i="26"/>
  <c r="Z12" i="28"/>
  <c r="R22" i="28"/>
  <c r="F34" i="28"/>
  <c r="F36" i="28"/>
  <c r="L12" i="29"/>
  <c r="F20" i="32"/>
  <c r="L21" i="32"/>
  <c r="F29" i="32"/>
  <c r="V16" i="34"/>
  <c r="V20" i="34"/>
  <c r="V25" i="34"/>
  <c r="L20" i="35"/>
  <c r="V22" i="35"/>
  <c r="F20" i="47"/>
  <c r="F25" i="47"/>
  <c r="F29" i="47"/>
  <c r="F22" i="47"/>
  <c r="F33" i="47"/>
  <c r="F18" i="47"/>
  <c r="F15" i="47"/>
  <c r="F36" i="47"/>
  <c r="D18" i="47"/>
  <c r="L12" i="47"/>
  <c r="J20" i="49"/>
  <c r="H18" i="49"/>
  <c r="H27" i="49" s="1"/>
  <c r="J15" i="49"/>
  <c r="J25" i="49"/>
  <c r="J24" i="49"/>
  <c r="J21" i="49"/>
  <c r="J33" i="49"/>
  <c r="J22" i="49"/>
  <c r="J29" i="49"/>
  <c r="N12" i="49"/>
  <c r="J36" i="49"/>
  <c r="L12" i="49"/>
  <c r="L25" i="14"/>
  <c r="X15" i="16"/>
  <c r="J21" i="16"/>
  <c r="L22" i="16"/>
  <c r="R25" i="16"/>
  <c r="R15" i="17"/>
  <c r="R16" i="17"/>
  <c r="X33" i="17"/>
  <c r="V16" i="20"/>
  <c r="J21" i="20"/>
  <c r="J24" i="20"/>
  <c r="J34" i="20"/>
  <c r="Z12" i="22"/>
  <c r="V16" i="22"/>
  <c r="F21" i="22"/>
  <c r="J24" i="22"/>
  <c r="V29" i="22"/>
  <c r="X33" i="22"/>
  <c r="R24" i="23"/>
  <c r="V34" i="23"/>
  <c r="X15" i="25"/>
  <c r="F21" i="25"/>
  <c r="J33" i="25"/>
  <c r="V18" i="26"/>
  <c r="L22" i="26"/>
  <c r="J31" i="26"/>
  <c r="V18" i="28"/>
  <c r="V20" i="28"/>
  <c r="F27" i="28"/>
  <c r="V31" i="28"/>
  <c r="V36" i="28"/>
  <c r="P18" i="29"/>
  <c r="P27" i="29" s="1"/>
  <c r="R36" i="29"/>
  <c r="X16" i="31"/>
  <c r="N20" i="31"/>
  <c r="F21" i="32"/>
  <c r="J24" i="32"/>
  <c r="J25" i="32"/>
  <c r="F33" i="32"/>
  <c r="L34" i="32"/>
  <c r="V22" i="34"/>
  <c r="J27" i="34"/>
  <c r="F18" i="35"/>
  <c r="F34" i="35"/>
  <c r="F20" i="35"/>
  <c r="V25" i="35"/>
  <c r="L29" i="38"/>
  <c r="R15" i="41"/>
  <c r="L22" i="44"/>
  <c r="N22" i="44"/>
  <c r="N16" i="49"/>
  <c r="L16" i="49"/>
  <c r="X15" i="50"/>
  <c r="Z29" i="52"/>
  <c r="X29" i="52"/>
  <c r="L29" i="53"/>
  <c r="R15" i="37"/>
  <c r="R20" i="37"/>
  <c r="R21" i="37"/>
  <c r="F15" i="38"/>
  <c r="D18" i="38"/>
  <c r="D27" i="38" s="1"/>
  <c r="J29" i="38"/>
  <c r="V16" i="40"/>
  <c r="V20" i="40"/>
  <c r="V16" i="41"/>
  <c r="L33" i="41"/>
  <c r="D18" i="43"/>
  <c r="V25" i="43"/>
  <c r="F33" i="43"/>
  <c r="F36" i="43"/>
  <c r="J15" i="46"/>
  <c r="T18" i="46"/>
  <c r="V21" i="46"/>
  <c r="F25" i="46"/>
  <c r="R27" i="46"/>
  <c r="V33" i="46"/>
  <c r="F36" i="46"/>
  <c r="V33" i="47"/>
  <c r="V24" i="49"/>
  <c r="F21" i="50"/>
  <c r="F25" i="50"/>
  <c r="R27" i="50"/>
  <c r="V33" i="50"/>
  <c r="R34" i="50"/>
  <c r="V24" i="52"/>
  <c r="F20" i="53"/>
  <c r="J29" i="53"/>
  <c r="J36" i="53"/>
  <c r="P18" i="98"/>
  <c r="P27" i="98" s="1"/>
  <c r="X21" i="98"/>
  <c r="L33" i="98"/>
  <c r="F18" i="99"/>
  <c r="R22" i="99"/>
  <c r="R24" i="99"/>
  <c r="X25" i="99"/>
  <c r="F31" i="99"/>
  <c r="L13" i="38"/>
  <c r="F16" i="38"/>
  <c r="H18" i="38"/>
  <c r="V20" i="38"/>
  <c r="X21" i="38"/>
  <c r="V25" i="38"/>
  <c r="F33" i="38"/>
  <c r="F36" i="38"/>
  <c r="V21" i="40"/>
  <c r="R22" i="40"/>
  <c r="F27" i="41"/>
  <c r="J36" i="41"/>
  <c r="F15" i="43"/>
  <c r="X29" i="43"/>
  <c r="F34" i="43"/>
  <c r="N12" i="44"/>
  <c r="X13" i="44"/>
  <c r="X15" i="44"/>
  <c r="X16" i="44"/>
  <c r="L20" i="44"/>
  <c r="R27" i="44"/>
  <c r="V18" i="46"/>
  <c r="J36" i="46"/>
  <c r="R21" i="47"/>
  <c r="R24" i="47"/>
  <c r="V29" i="47"/>
  <c r="F20" i="49"/>
  <c r="F33" i="49"/>
  <c r="L34" i="49"/>
  <c r="J22" i="50"/>
  <c r="F24" i="50"/>
  <c r="F21" i="53"/>
  <c r="F33" i="53"/>
  <c r="R15" i="98"/>
  <c r="R18" i="99"/>
  <c r="X22" i="100"/>
  <c r="T18" i="38"/>
  <c r="T27" i="38" s="1"/>
  <c r="J36" i="38"/>
  <c r="R18" i="40"/>
  <c r="Z12" i="41"/>
  <c r="L15" i="41"/>
  <c r="V18" i="41"/>
  <c r="L22" i="41"/>
  <c r="J24" i="41"/>
  <c r="J25" i="41"/>
  <c r="J27" i="41"/>
  <c r="J33" i="41"/>
  <c r="F34" i="41"/>
  <c r="V21" i="43"/>
  <c r="F25" i="43"/>
  <c r="F27" i="43"/>
  <c r="V36" i="43"/>
  <c r="N20" i="44"/>
  <c r="J33" i="44"/>
  <c r="J25" i="46"/>
  <c r="F29" i="46"/>
  <c r="V36" i="46"/>
  <c r="V22" i="47"/>
  <c r="V25" i="47"/>
  <c r="V36" i="47"/>
  <c r="F21" i="49"/>
  <c r="F34" i="49"/>
  <c r="X21" i="50"/>
  <c r="J25" i="50"/>
  <c r="F29" i="50"/>
  <c r="F36" i="50"/>
  <c r="X15" i="52"/>
  <c r="V16" i="52"/>
  <c r="V20" i="52"/>
  <c r="X21" i="52"/>
  <c r="R31" i="52"/>
  <c r="X12" i="53"/>
  <c r="F15" i="53"/>
  <c r="D18" i="53"/>
  <c r="F34" i="53"/>
  <c r="X33" i="98"/>
  <c r="R36" i="98"/>
  <c r="N12" i="99"/>
  <c r="X34" i="99"/>
  <c r="N12" i="100"/>
  <c r="H18" i="100"/>
  <c r="H27" i="100" s="1"/>
  <c r="R18" i="37"/>
  <c r="X15" i="38"/>
  <c r="V21" i="38"/>
  <c r="F25" i="38"/>
  <c r="J33" i="38"/>
  <c r="J34" i="38"/>
  <c r="V36" i="38"/>
  <c r="L16" i="40"/>
  <c r="L20" i="40"/>
  <c r="V22" i="40"/>
  <c r="H18" i="41"/>
  <c r="H27" i="41" s="1"/>
  <c r="J21" i="41"/>
  <c r="V27" i="41"/>
  <c r="L13" i="43"/>
  <c r="V22" i="43"/>
  <c r="V27" i="43"/>
  <c r="V29" i="43"/>
  <c r="X22" i="44"/>
  <c r="R34" i="44"/>
  <c r="L12" i="46"/>
  <c r="V15" i="46"/>
  <c r="F21" i="46"/>
  <c r="F33" i="46"/>
  <c r="R18" i="47"/>
  <c r="F24" i="49"/>
  <c r="F25" i="49"/>
  <c r="F15" i="50"/>
  <c r="D18" i="50"/>
  <c r="D27" i="50" s="1"/>
  <c r="F33" i="50"/>
  <c r="J36" i="50"/>
  <c r="R15" i="52"/>
  <c r="F18" i="53"/>
  <c r="J21" i="53"/>
  <c r="F25" i="53"/>
  <c r="J33" i="53"/>
  <c r="X13" i="98"/>
  <c r="R18" i="98"/>
  <c r="L22" i="98"/>
  <c r="L25" i="98"/>
  <c r="R33" i="98"/>
  <c r="L29" i="99"/>
  <c r="J18" i="100"/>
  <c r="Z24" i="100"/>
  <c r="V18" i="37"/>
  <c r="R29" i="37"/>
  <c r="R33" i="37"/>
  <c r="L12" i="38"/>
  <c r="X16" i="38"/>
  <c r="F20" i="38"/>
  <c r="J24" i="38"/>
  <c r="J27" i="38"/>
  <c r="V29" i="38"/>
  <c r="L33" i="38"/>
  <c r="Z12" i="40"/>
  <c r="F16" i="40"/>
  <c r="F20" i="40"/>
  <c r="F21" i="40"/>
  <c r="F22" i="40"/>
  <c r="J15" i="41"/>
  <c r="J22" i="41"/>
  <c r="J34" i="41"/>
  <c r="X16" i="43"/>
  <c r="L24" i="43"/>
  <c r="X33" i="43"/>
  <c r="J18" i="44"/>
  <c r="R20" i="44"/>
  <c r="J25" i="44"/>
  <c r="N12" i="46"/>
  <c r="J22" i="46"/>
  <c r="J29" i="46"/>
  <c r="V18" i="47"/>
  <c r="F15" i="49"/>
  <c r="D18" i="49"/>
  <c r="D27" i="49" s="1"/>
  <c r="D31" i="49" s="1"/>
  <c r="F27" i="49"/>
  <c r="F18" i="50"/>
  <c r="V21" i="50"/>
  <c r="J29" i="50"/>
  <c r="V36" i="50"/>
  <c r="J25" i="52"/>
  <c r="J15" i="53"/>
  <c r="F16" i="53"/>
  <c r="H18" i="53"/>
  <c r="H27" i="53" s="1"/>
  <c r="H31" i="53" s="1"/>
  <c r="H36" i="53" s="1"/>
  <c r="N36" i="53" s="1"/>
  <c r="F24" i="53"/>
  <c r="F27" i="53"/>
  <c r="J16" i="100"/>
  <c r="X24" i="37"/>
  <c r="R25" i="37"/>
  <c r="R36" i="37"/>
  <c r="X13" i="38"/>
  <c r="F21" i="38"/>
  <c r="J25" i="38"/>
  <c r="R34" i="38"/>
  <c r="F24" i="40"/>
  <c r="N15" i="41"/>
  <c r="F31" i="41"/>
  <c r="F29" i="43"/>
  <c r="F31" i="43"/>
  <c r="P18" i="44"/>
  <c r="P27" i="44" s="1"/>
  <c r="P31" i="44" s="1"/>
  <c r="L15" i="46"/>
  <c r="V25" i="46"/>
  <c r="J33" i="46"/>
  <c r="F18" i="49"/>
  <c r="X20" i="49"/>
  <c r="R27" i="49"/>
  <c r="J15" i="50"/>
  <c r="T18" i="50"/>
  <c r="T27" i="50" s="1"/>
  <c r="V22" i="50"/>
  <c r="V25" i="50"/>
  <c r="J33" i="50"/>
  <c r="P18" i="52"/>
  <c r="P27" i="52" s="1"/>
  <c r="J33" i="52"/>
  <c r="J18" i="53"/>
  <c r="J22" i="53"/>
  <c r="J25" i="53"/>
  <c r="X24" i="98"/>
  <c r="R29" i="98"/>
  <c r="J21" i="99"/>
  <c r="L24" i="99"/>
  <c r="L34" i="99"/>
  <c r="L20" i="100"/>
  <c r="L21" i="100"/>
  <c r="F22" i="100"/>
  <c r="F24" i="100"/>
  <c r="R16" i="37"/>
  <c r="L20" i="37"/>
  <c r="R24" i="37"/>
  <c r="V16" i="38"/>
  <c r="F29" i="38"/>
  <c r="J31" i="38"/>
  <c r="L13" i="40"/>
  <c r="X16" i="40"/>
  <c r="X20" i="40"/>
  <c r="L33" i="40"/>
  <c r="N12" i="41"/>
  <c r="X22" i="41"/>
  <c r="J29" i="41"/>
  <c r="J31" i="41"/>
  <c r="X13" i="43"/>
  <c r="T18" i="43"/>
  <c r="T27" i="43" s="1"/>
  <c r="F22" i="43"/>
  <c r="X25" i="43"/>
  <c r="V31" i="43"/>
  <c r="V33" i="43"/>
  <c r="F15" i="46"/>
  <c r="D18" i="46"/>
  <c r="D27" i="46" s="1"/>
  <c r="X20" i="46"/>
  <c r="X34" i="46"/>
  <c r="V15" i="47"/>
  <c r="L21" i="47"/>
  <c r="X34" i="47"/>
  <c r="F16" i="49"/>
  <c r="V18" i="50"/>
  <c r="Z12" i="52"/>
  <c r="R24" i="52"/>
  <c r="R29" i="52"/>
  <c r="X34" i="52"/>
  <c r="L12" i="53"/>
  <c r="J24" i="53"/>
  <c r="F29" i="53"/>
  <c r="X33" i="53"/>
  <c r="R24" i="98"/>
  <c r="R25" i="98"/>
  <c r="L13" i="99"/>
  <c r="R16" i="99"/>
  <c r="J24" i="99"/>
  <c r="X29" i="99"/>
  <c r="F34" i="99"/>
  <c r="X16" i="100"/>
  <c r="F20" i="100"/>
  <c r="F21" i="100"/>
  <c r="F262" i="3"/>
  <c r="F250" i="3"/>
  <c r="F233" i="3"/>
  <c r="F225" i="3"/>
  <c r="F217" i="3"/>
  <c r="F213" i="3"/>
  <c r="F209" i="3"/>
  <c r="F205" i="3"/>
  <c r="F200" i="3"/>
  <c r="F188" i="3"/>
  <c r="F185" i="3"/>
  <c r="F176" i="3"/>
  <c r="F173" i="3"/>
  <c r="F165" i="3"/>
  <c r="F161" i="3"/>
  <c r="F153" i="3"/>
  <c r="F145" i="3"/>
  <c r="F137" i="3"/>
  <c r="F129" i="3"/>
  <c r="F121" i="3"/>
  <c r="F113" i="3"/>
  <c r="F105" i="3"/>
  <c r="F253" i="3"/>
  <c r="F243" i="3"/>
  <c r="F239" i="3"/>
  <c r="F236" i="3"/>
  <c r="F232" i="3"/>
  <c r="F216" i="3"/>
  <c r="F212" i="3"/>
  <c r="F208" i="3"/>
  <c r="F196" i="3"/>
  <c r="F191" i="3"/>
  <c r="F179" i="3"/>
  <c r="F164" i="3"/>
  <c r="F160" i="3"/>
  <c r="F152" i="3"/>
  <c r="F144" i="3"/>
  <c r="F136" i="3"/>
  <c r="F128" i="3"/>
  <c r="F120" i="3"/>
  <c r="F112" i="3"/>
  <c r="F104" i="3"/>
  <c r="F99" i="3"/>
  <c r="F248" i="3"/>
  <c r="F235" i="3"/>
  <c r="F231" i="3"/>
  <c r="F207" i="3"/>
  <c r="F202" i="3"/>
  <c r="F199" i="3"/>
  <c r="F187" i="3"/>
  <c r="F182" i="3"/>
  <c r="F175" i="3"/>
  <c r="F170" i="3"/>
  <c r="F163" i="3"/>
  <c r="F159" i="3"/>
  <c r="F150" i="3"/>
  <c r="F143" i="3"/>
  <c r="F135" i="3"/>
  <c r="F127" i="3"/>
  <c r="F119" i="3"/>
  <c r="F111" i="3"/>
  <c r="F103" i="3"/>
  <c r="F251" i="3"/>
  <c r="F242" i="3"/>
  <c r="F238" i="3"/>
  <c r="F230" i="3"/>
  <c r="F221" i="3"/>
  <c r="F198" i="3"/>
  <c r="F193" i="3"/>
  <c r="F190" i="3"/>
  <c r="F178" i="3"/>
  <c r="F158" i="3"/>
  <c r="F142" i="3"/>
  <c r="F134" i="3"/>
  <c r="F126" i="3"/>
  <c r="F118" i="3"/>
  <c r="F110" i="3"/>
  <c r="F258" i="3"/>
  <c r="F249" i="3"/>
  <c r="F244" i="3"/>
  <c r="F240" i="3"/>
  <c r="F228" i="3"/>
  <c r="F220" i="3"/>
  <c r="F215" i="3"/>
  <c r="F211" i="3"/>
  <c r="F195" i="3"/>
  <c r="F192" i="3"/>
  <c r="F180" i="3"/>
  <c r="F168" i="3"/>
  <c r="F156" i="3"/>
  <c r="F151" i="3"/>
  <c r="F140" i="3"/>
  <c r="F132" i="3"/>
  <c r="F124" i="3"/>
  <c r="F116" i="3"/>
  <c r="F108" i="3"/>
  <c r="F100" i="3"/>
  <c r="F252" i="3"/>
  <c r="F234" i="3"/>
  <c r="F227" i="3"/>
  <c r="F223" i="3"/>
  <c r="F219" i="3"/>
  <c r="F206" i="3"/>
  <c r="F203" i="3"/>
  <c r="F186" i="3"/>
  <c r="F183" i="3"/>
  <c r="F174" i="3"/>
  <c r="F171" i="3"/>
  <c r="F167" i="3"/>
  <c r="F162" i="3"/>
  <c r="F155" i="3"/>
  <c r="F148" i="3"/>
  <c r="F139" i="3"/>
  <c r="F131" i="3"/>
  <c r="F123" i="3"/>
  <c r="F115" i="3"/>
  <c r="F107" i="3"/>
  <c r="F247" i="3"/>
  <c r="F237" i="3"/>
  <c r="F226" i="3"/>
  <c r="F222" i="3"/>
  <c r="F218" i="3"/>
  <c r="F214" i="3"/>
  <c r="F210" i="3"/>
  <c r="F197" i="3"/>
  <c r="F194" i="3"/>
  <c r="F166" i="3"/>
  <c r="F154" i="3"/>
  <c r="D148" i="3"/>
  <c r="F146" i="3"/>
  <c r="F138" i="3"/>
  <c r="F130" i="3"/>
  <c r="F122" i="3"/>
  <c r="F114" i="3"/>
  <c r="F106" i="3"/>
  <c r="F254" i="3"/>
  <c r="F189" i="3"/>
  <c r="F177" i="3"/>
  <c r="F133" i="3"/>
  <c r="F263" i="3"/>
  <c r="F241" i="3"/>
  <c r="F224" i="3"/>
  <c r="F201" i="3"/>
  <c r="F101" i="3"/>
  <c r="F169" i="3"/>
  <c r="F109" i="3"/>
  <c r="F181" i="3"/>
  <c r="F172" i="3"/>
  <c r="F157" i="3"/>
  <c r="F141" i="3"/>
  <c r="F204" i="3"/>
  <c r="F117" i="3"/>
  <c r="F184" i="3"/>
  <c r="F125" i="3"/>
  <c r="F102" i="3"/>
  <c r="F229" i="3"/>
  <c r="Z14" i="3"/>
  <c r="N16" i="3"/>
  <c r="Z13" i="3"/>
  <c r="N18" i="3"/>
  <c r="Z22" i="3"/>
  <c r="R252" i="3"/>
  <c r="R241" i="3"/>
  <c r="R234" i="3"/>
  <c r="R229" i="3"/>
  <c r="R206" i="3"/>
  <c r="R201" i="3"/>
  <c r="R189" i="3"/>
  <c r="R186" i="3"/>
  <c r="R181" i="3"/>
  <c r="R177" i="3"/>
  <c r="R174" i="3"/>
  <c r="R169" i="3"/>
  <c r="R162" i="3"/>
  <c r="R157" i="3"/>
  <c r="R141" i="3"/>
  <c r="R133" i="3"/>
  <c r="R125" i="3"/>
  <c r="R117" i="3"/>
  <c r="R109" i="3"/>
  <c r="R101" i="3"/>
  <c r="R258" i="3"/>
  <c r="R247" i="3"/>
  <c r="R244" i="3"/>
  <c r="R240" i="3"/>
  <c r="R237" i="3"/>
  <c r="R228" i="3"/>
  <c r="R220" i="3"/>
  <c r="R197" i="3"/>
  <c r="R192" i="3"/>
  <c r="R180" i="3"/>
  <c r="R168" i="3"/>
  <c r="R156" i="3"/>
  <c r="P148" i="3"/>
  <c r="R148" i="3" s="1"/>
  <c r="R140" i="3"/>
  <c r="R132" i="3"/>
  <c r="R124" i="3"/>
  <c r="R116" i="3"/>
  <c r="R108" i="3"/>
  <c r="R100" i="3"/>
  <c r="R262" i="3"/>
  <c r="R250" i="3"/>
  <c r="R227" i="3"/>
  <c r="R223" i="3"/>
  <c r="R219" i="3"/>
  <c r="R203" i="3"/>
  <c r="R200" i="3"/>
  <c r="R188" i="3"/>
  <c r="R183" i="3"/>
  <c r="R176" i="3"/>
  <c r="R171" i="3"/>
  <c r="R167" i="3"/>
  <c r="R155" i="3"/>
  <c r="R139" i="3"/>
  <c r="R131" i="3"/>
  <c r="R123" i="3"/>
  <c r="R115" i="3"/>
  <c r="R107" i="3"/>
  <c r="R253" i="3"/>
  <c r="R243" i="3"/>
  <c r="R239" i="3"/>
  <c r="R226" i="3"/>
  <c r="R222" i="3"/>
  <c r="R218" i="3"/>
  <c r="R214" i="3"/>
  <c r="R210" i="3"/>
  <c r="R194" i="3"/>
  <c r="R191" i="3"/>
  <c r="R179" i="3"/>
  <c r="R166" i="3"/>
  <c r="R154" i="3"/>
  <c r="R146" i="3"/>
  <c r="R138" i="3"/>
  <c r="R130" i="3"/>
  <c r="R122" i="3"/>
  <c r="R114" i="3"/>
  <c r="R251" i="3"/>
  <c r="R236" i="3"/>
  <c r="R232" i="3"/>
  <c r="R221" i="3"/>
  <c r="R216" i="3"/>
  <c r="R212" i="3"/>
  <c r="R208" i="3"/>
  <c r="R196" i="3"/>
  <c r="R193" i="3"/>
  <c r="R164" i="3"/>
  <c r="R160" i="3"/>
  <c r="R152" i="3"/>
  <c r="R144" i="3"/>
  <c r="R136" i="3"/>
  <c r="R128" i="3"/>
  <c r="R120" i="3"/>
  <c r="R112" i="3"/>
  <c r="R104" i="3"/>
  <c r="R263" i="3"/>
  <c r="R254" i="3"/>
  <c r="R235" i="3"/>
  <c r="R231" i="3"/>
  <c r="R224" i="3"/>
  <c r="R207" i="3"/>
  <c r="R204" i="3"/>
  <c r="R199" i="3"/>
  <c r="R187" i="3"/>
  <c r="R184" i="3"/>
  <c r="R175" i="3"/>
  <c r="R172" i="3"/>
  <c r="R163" i="3"/>
  <c r="R159" i="3"/>
  <c r="R143" i="3"/>
  <c r="R135" i="3"/>
  <c r="R127" i="3"/>
  <c r="R119" i="3"/>
  <c r="R111" i="3"/>
  <c r="R103" i="3"/>
  <c r="R249" i="3"/>
  <c r="R242" i="3"/>
  <c r="R238" i="3"/>
  <c r="R230" i="3"/>
  <c r="R215" i="3"/>
  <c r="R211" i="3"/>
  <c r="R198" i="3"/>
  <c r="R195" i="3"/>
  <c r="R190" i="3"/>
  <c r="R178" i="3"/>
  <c r="R158" i="3"/>
  <c r="R151" i="3"/>
  <c r="R142" i="3"/>
  <c r="R134" i="3"/>
  <c r="R126" i="3"/>
  <c r="R118" i="3"/>
  <c r="R110" i="3"/>
  <c r="R102" i="3"/>
  <c r="R205" i="3"/>
  <c r="R129" i="3"/>
  <c r="R113" i="3"/>
  <c r="R213" i="3"/>
  <c r="R145" i="3"/>
  <c r="R106" i="3"/>
  <c r="R161" i="3"/>
  <c r="R202" i="3"/>
  <c r="R225" i="3"/>
  <c r="R217" i="3"/>
  <c r="R248" i="3"/>
  <c r="R209" i="3"/>
  <c r="R165" i="3"/>
  <c r="R150" i="3"/>
  <c r="R99" i="3"/>
  <c r="R185" i="3"/>
  <c r="R173" i="3"/>
  <c r="R170" i="3"/>
  <c r="R153" i="3"/>
  <c r="R137" i="3"/>
  <c r="R233" i="3"/>
  <c r="R182" i="3"/>
  <c r="R121" i="3"/>
  <c r="R105" i="3"/>
  <c r="Z42" i="3"/>
  <c r="Z21" i="3"/>
  <c r="N17" i="3"/>
  <c r="Z43" i="3"/>
  <c r="N13" i="3"/>
  <c r="Z17" i="3"/>
  <c r="N263" i="3"/>
  <c r="N34" i="4"/>
  <c r="L34" i="4"/>
  <c r="Z54" i="9"/>
  <c r="N67" i="9"/>
  <c r="L67" i="9"/>
  <c r="T12" i="3"/>
  <c r="L15" i="3"/>
  <c r="N15" i="3" s="1"/>
  <c r="Z23" i="3"/>
  <c r="N31" i="3"/>
  <c r="N19" i="3"/>
  <c r="N30" i="3"/>
  <c r="Z35" i="3"/>
  <c r="L40" i="3"/>
  <c r="N40" i="3" s="1"/>
  <c r="X44" i="3"/>
  <c r="L52" i="3"/>
  <c r="N54" i="3"/>
  <c r="X58" i="3"/>
  <c r="Z58" i="3" s="1"/>
  <c r="L79" i="3"/>
  <c r="N79" i="3" s="1"/>
  <c r="Z91" i="3"/>
  <c r="N191" i="3"/>
  <c r="Z19" i="9"/>
  <c r="N37" i="9"/>
  <c r="N69" i="9"/>
  <c r="N24" i="12"/>
  <c r="L24" i="12"/>
  <c r="F214" i="12"/>
  <c r="Z31" i="3"/>
  <c r="Z13" i="5"/>
  <c r="X13" i="5"/>
  <c r="P16" i="6"/>
  <c r="X55" i="12"/>
  <c r="Z55" i="12" s="1"/>
  <c r="N174" i="12"/>
  <c r="L174" i="12"/>
  <c r="R36" i="20"/>
  <c r="R33" i="20"/>
  <c r="R29" i="20"/>
  <c r="R25" i="20"/>
  <c r="P18" i="20"/>
  <c r="R15" i="20"/>
  <c r="R22" i="20"/>
  <c r="X12" i="20"/>
  <c r="R20" i="20"/>
  <c r="R16" i="20"/>
  <c r="R24" i="20"/>
  <c r="R21" i="20"/>
  <c r="R18" i="20"/>
  <c r="R31" i="20"/>
  <c r="R27" i="20"/>
  <c r="R34" i="20"/>
  <c r="Z67" i="3"/>
  <c r="H12" i="3"/>
  <c r="L12" i="3" s="1"/>
  <c r="L24" i="3"/>
  <c r="N24" i="3" s="1"/>
  <c r="N27" i="3"/>
  <c r="Z44" i="3"/>
  <c r="L60" i="3"/>
  <c r="N60" i="3" s="1"/>
  <c r="Z63" i="3"/>
  <c r="Z90" i="3"/>
  <c r="Z182" i="3"/>
  <c r="N20" i="6"/>
  <c r="L20" i="6"/>
  <c r="L39" i="9"/>
  <c r="N39" i="9" s="1"/>
  <c r="F188" i="12"/>
  <c r="Z16" i="5"/>
  <c r="X16" i="5"/>
  <c r="Z20" i="5"/>
  <c r="X20" i="5"/>
  <c r="N16" i="7"/>
  <c r="L16" i="7"/>
  <c r="Z37" i="9"/>
  <c r="X37" i="9"/>
  <c r="L24" i="10"/>
  <c r="N24" i="10"/>
  <c r="N220" i="12"/>
  <c r="L220" i="12"/>
  <c r="L52" i="15"/>
  <c r="N52" i="15" s="1"/>
  <c r="L23" i="3"/>
  <c r="N23" i="3" s="1"/>
  <c r="X24" i="3"/>
  <c r="Z24" i="3" s="1"/>
  <c r="Z28" i="3"/>
  <c r="X31" i="3"/>
  <c r="L36" i="3"/>
  <c r="L39" i="3"/>
  <c r="N39" i="3" s="1"/>
  <c r="X42" i="3"/>
  <c r="X43" i="3"/>
  <c r="N48" i="3"/>
  <c r="X52" i="3"/>
  <c r="Z52" i="3" s="1"/>
  <c r="Z68" i="3"/>
  <c r="N72" i="3"/>
  <c r="Z75" i="3"/>
  <c r="N78" i="3"/>
  <c r="Z85" i="3"/>
  <c r="L87" i="3"/>
  <c r="N195" i="3"/>
  <c r="L195" i="3"/>
  <c r="N211" i="3"/>
  <c r="L211" i="3"/>
  <c r="Z239" i="3"/>
  <c r="N251" i="3"/>
  <c r="Z28" i="6"/>
  <c r="Z39" i="9"/>
  <c r="N47" i="9"/>
  <c r="L47" i="9"/>
  <c r="Z51" i="9"/>
  <c r="N59" i="12"/>
  <c r="L59" i="12"/>
  <c r="N34" i="14"/>
  <c r="L34" i="14"/>
  <c r="X18" i="3"/>
  <c r="Z18" i="3" s="1"/>
  <c r="X193" i="3"/>
  <c r="Z193" i="3" s="1"/>
  <c r="N20" i="7"/>
  <c r="L20" i="7"/>
  <c r="N34" i="8"/>
  <c r="L34" i="8"/>
  <c r="X21" i="3"/>
  <c r="X27" i="3"/>
  <c r="Z27" i="3" s="1"/>
  <c r="Z60" i="3"/>
  <c r="N64" i="3"/>
  <c r="N81" i="3"/>
  <c r="Z93" i="3"/>
  <c r="N221" i="3"/>
  <c r="Z251" i="3"/>
  <c r="X251" i="3"/>
  <c r="L29" i="6"/>
  <c r="N29" i="6" s="1"/>
  <c r="F21" i="7"/>
  <c r="F18" i="7"/>
  <c r="F36" i="7"/>
  <c r="F33" i="7"/>
  <c r="F29" i="7"/>
  <c r="F25" i="7"/>
  <c r="D18" i="7"/>
  <c r="F15" i="7"/>
  <c r="L12" i="7"/>
  <c r="F22" i="7"/>
  <c r="F20" i="7"/>
  <c r="F16" i="7"/>
  <c r="F34" i="7"/>
  <c r="F31" i="7"/>
  <c r="F27" i="7"/>
  <c r="F24" i="7"/>
  <c r="Z71" i="9"/>
  <c r="Z16" i="15"/>
  <c r="X16" i="15"/>
  <c r="Z74" i="3"/>
  <c r="X15" i="4"/>
  <c r="P18" i="4"/>
  <c r="X15" i="8"/>
  <c r="P18" i="8"/>
  <c r="Z51" i="3"/>
  <c r="Z26" i="3"/>
  <c r="N32" i="3"/>
  <c r="X36" i="3"/>
  <c r="X50" i="3"/>
  <c r="Z50" i="3" s="1"/>
  <c r="N56" i="3"/>
  <c r="Z66" i="3"/>
  <c r="L70" i="3"/>
  <c r="N70" i="3" s="1"/>
  <c r="Z83" i="3"/>
  <c r="N86" i="3"/>
  <c r="Z92" i="3"/>
  <c r="L151" i="3"/>
  <c r="N151" i="3" s="1"/>
  <c r="D246" i="3"/>
  <c r="N249" i="3"/>
  <c r="L249" i="3"/>
  <c r="H246" i="3"/>
  <c r="N24" i="5"/>
  <c r="L24" i="5"/>
  <c r="T22" i="6"/>
  <c r="Z16" i="6"/>
  <c r="N19" i="9"/>
  <c r="L19" i="9"/>
  <c r="N160" i="12"/>
  <c r="N13" i="15"/>
  <c r="H12" i="15"/>
  <c r="N224" i="3"/>
  <c r="Z45" i="9"/>
  <c r="X45" i="9"/>
  <c r="L47" i="3"/>
  <c r="N47" i="3" s="1"/>
  <c r="Z36" i="3"/>
  <c r="Z59" i="3"/>
  <c r="N62" i="3"/>
  <c r="N63" i="3"/>
  <c r="X66" i="3"/>
  <c r="N80" i="3"/>
  <c r="Z82" i="3"/>
  <c r="L86" i="3"/>
  <c r="N215" i="3"/>
  <c r="L215" i="3"/>
  <c r="Z221" i="3"/>
  <c r="X221" i="3"/>
  <c r="Z243" i="3"/>
  <c r="H22" i="6"/>
  <c r="N16" i="6"/>
  <c r="Z22" i="7"/>
  <c r="X22" i="7"/>
  <c r="F218" i="12"/>
  <c r="F205" i="12"/>
  <c r="F201" i="12"/>
  <c r="F196" i="12"/>
  <c r="F176" i="12"/>
  <c r="F173" i="12"/>
  <c r="F161" i="12"/>
  <c r="F156" i="12"/>
  <c r="F149" i="12"/>
  <c r="F144" i="12"/>
  <c r="F137" i="12"/>
  <c r="F133" i="12"/>
  <c r="F124" i="12"/>
  <c r="F117" i="12"/>
  <c r="F109" i="12"/>
  <c r="F101" i="12"/>
  <c r="F93" i="12"/>
  <c r="F85" i="12"/>
  <c r="F212" i="12"/>
  <c r="F208" i="12"/>
  <c r="F200" i="12"/>
  <c r="F192" i="12"/>
  <c r="F187" i="12"/>
  <c r="F183" i="12"/>
  <c r="F172" i="12"/>
  <c r="F167" i="12"/>
  <c r="F164" i="12"/>
  <c r="F152" i="12"/>
  <c r="F132" i="12"/>
  <c r="F116" i="12"/>
  <c r="F108" i="12"/>
  <c r="F100" i="12"/>
  <c r="F92" i="12"/>
  <c r="F84" i="12"/>
  <c r="F216" i="12"/>
  <c r="F211" i="12"/>
  <c r="F199" i="12"/>
  <c r="F195" i="12"/>
  <c r="F191" i="12"/>
  <c r="F178" i="12"/>
  <c r="F175" i="12"/>
  <c r="F163" i="12"/>
  <c r="F158" i="12"/>
  <c r="F155" i="12"/>
  <c r="F151" i="12"/>
  <c r="F146" i="12"/>
  <c r="F143" i="12"/>
  <c r="F131" i="12"/>
  <c r="F115" i="12"/>
  <c r="F107" i="12"/>
  <c r="F99" i="12"/>
  <c r="F91" i="12"/>
  <c r="F83" i="12"/>
  <c r="F204" i="12"/>
  <c r="F197" i="12"/>
  <c r="F189" i="12"/>
  <c r="F185" i="12"/>
  <c r="F181" i="12"/>
  <c r="F177" i="12"/>
  <c r="F160" i="12"/>
  <c r="F157" i="12"/>
  <c r="F148" i="12"/>
  <c r="F145" i="12"/>
  <c r="F141" i="12"/>
  <c r="F136" i="12"/>
  <c r="F129" i="12"/>
  <c r="F113" i="12"/>
  <c r="F105" i="12"/>
  <c r="F97" i="12"/>
  <c r="F89" i="12"/>
  <c r="F220" i="12"/>
  <c r="F203" i="12"/>
  <c r="F179" i="12"/>
  <c r="F174" i="12"/>
  <c r="F162" i="12"/>
  <c r="F159" i="12"/>
  <c r="F150" i="12"/>
  <c r="F147" i="12"/>
  <c r="F139" i="12"/>
  <c r="F135" i="12"/>
  <c r="F127" i="12"/>
  <c r="F119" i="12"/>
  <c r="F111" i="12"/>
  <c r="F103" i="12"/>
  <c r="F95" i="12"/>
  <c r="F87" i="12"/>
  <c r="F224" i="12"/>
  <c r="F213" i="12"/>
  <c r="F209" i="12"/>
  <c r="F206" i="12"/>
  <c r="F202" i="12"/>
  <c r="F193" i="12"/>
  <c r="F170" i="12"/>
  <c r="F165" i="12"/>
  <c r="F153" i="12"/>
  <c r="F138" i="12"/>
  <c r="F134" i="12"/>
  <c r="F126" i="12"/>
  <c r="F118" i="12"/>
  <c r="F110" i="12"/>
  <c r="F102" i="12"/>
  <c r="F94" i="12"/>
  <c r="F86" i="12"/>
  <c r="F81" i="12"/>
  <c r="F194" i="12"/>
  <c r="F182" i="12"/>
  <c r="F171" i="12"/>
  <c r="F114" i="12"/>
  <c r="F98" i="12"/>
  <c r="F190" i="12"/>
  <c r="F186" i="12"/>
  <c r="F154" i="12"/>
  <c r="F140" i="12"/>
  <c r="F104" i="12"/>
  <c r="F180" i="12"/>
  <c r="F168" i="12"/>
  <c r="D122" i="12"/>
  <c r="F122" i="12" s="1"/>
  <c r="F90" i="12"/>
  <c r="F217" i="12"/>
  <c r="F207" i="12"/>
  <c r="F198" i="12"/>
  <c r="F184" i="12"/>
  <c r="F112" i="12"/>
  <c r="F96" i="12"/>
  <c r="F210" i="12"/>
  <c r="F88" i="12"/>
  <c r="F128" i="12"/>
  <c r="F106" i="12"/>
  <c r="F82" i="12"/>
  <c r="F166" i="12"/>
  <c r="F142" i="12"/>
  <c r="F125" i="12"/>
  <c r="F120" i="12"/>
  <c r="X148" i="12"/>
  <c r="Z148" i="12" s="1"/>
  <c r="P246" i="3"/>
  <c r="L248" i="3"/>
  <c r="J15" i="4"/>
  <c r="H18" i="4"/>
  <c r="F21" i="4"/>
  <c r="V21" i="4"/>
  <c r="J25" i="4"/>
  <c r="R27" i="4"/>
  <c r="J29" i="4"/>
  <c r="R31" i="4"/>
  <c r="J33" i="4"/>
  <c r="R34" i="4"/>
  <c r="J36" i="4"/>
  <c r="F18" i="5"/>
  <c r="V18" i="5"/>
  <c r="J22" i="5"/>
  <c r="R24" i="5"/>
  <c r="Z14" i="6"/>
  <c r="R16" i="6"/>
  <c r="R20" i="6"/>
  <c r="J22" i="6"/>
  <c r="R26" i="6"/>
  <c r="J28" i="6"/>
  <c r="R29" i="6"/>
  <c r="R16" i="7"/>
  <c r="J18" i="7"/>
  <c r="R20" i="7"/>
  <c r="V24" i="7"/>
  <c r="J15" i="8"/>
  <c r="H18" i="8"/>
  <c r="F21" i="8"/>
  <c r="V21" i="8"/>
  <c r="J25" i="8"/>
  <c r="R27" i="8"/>
  <c r="J29" i="8"/>
  <c r="R31" i="8"/>
  <c r="J33" i="8"/>
  <c r="R34" i="8"/>
  <c r="J36" i="8"/>
  <c r="D16" i="9"/>
  <c r="T16" i="9"/>
  <c r="R19" i="9"/>
  <c r="J21" i="9"/>
  <c r="F22" i="9"/>
  <c r="V25" i="9"/>
  <c r="R26" i="9"/>
  <c r="J29" i="9"/>
  <c r="J33" i="9"/>
  <c r="F34" i="9"/>
  <c r="F38" i="9"/>
  <c r="R39" i="9"/>
  <c r="F41" i="9"/>
  <c r="V41" i="9"/>
  <c r="R42" i="9"/>
  <c r="J43" i="9"/>
  <c r="F46" i="9"/>
  <c r="R47" i="9"/>
  <c r="F49" i="9"/>
  <c r="V49" i="9"/>
  <c r="R50" i="9"/>
  <c r="J51" i="9"/>
  <c r="V53" i="9"/>
  <c r="J57" i="9"/>
  <c r="J61" i="9"/>
  <c r="J65" i="9"/>
  <c r="F66" i="9"/>
  <c r="R67" i="9"/>
  <c r="F69" i="9"/>
  <c r="V69" i="9"/>
  <c r="R70" i="9"/>
  <c r="J71" i="9"/>
  <c r="V73" i="9"/>
  <c r="R74" i="9"/>
  <c r="F77" i="9"/>
  <c r="R78" i="9"/>
  <c r="R82" i="9"/>
  <c r="R83" i="9"/>
  <c r="J91" i="9"/>
  <c r="J94" i="9"/>
  <c r="V24" i="10"/>
  <c r="X25" i="10"/>
  <c r="V18" i="11"/>
  <c r="V36" i="11"/>
  <c r="V33" i="11"/>
  <c r="V29" i="11"/>
  <c r="V25" i="11"/>
  <c r="T18" i="11"/>
  <c r="X18" i="11" s="1"/>
  <c r="V15" i="11"/>
  <c r="V22" i="11"/>
  <c r="V20" i="11"/>
  <c r="V16" i="11"/>
  <c r="Z12" i="11"/>
  <c r="V21" i="11"/>
  <c r="V31" i="11"/>
  <c r="X34" i="11"/>
  <c r="Z23" i="12"/>
  <c r="X23" i="12"/>
  <c r="L25" i="12"/>
  <c r="N27" i="12"/>
  <c r="L27" i="12"/>
  <c r="N35" i="12"/>
  <c r="L35" i="12"/>
  <c r="Z71" i="12"/>
  <c r="X71" i="12"/>
  <c r="L73" i="12"/>
  <c r="N73" i="12" s="1"/>
  <c r="Z76" i="12"/>
  <c r="L148" i="12"/>
  <c r="N176" i="12"/>
  <c r="X216" i="12"/>
  <c r="X22" i="15"/>
  <c r="Z22" i="15" s="1"/>
  <c r="N28" i="15"/>
  <c r="L28" i="15"/>
  <c r="X62" i="15"/>
  <c r="Z62" i="15" s="1"/>
  <c r="Z72" i="15"/>
  <c r="X72" i="15"/>
  <c r="L74" i="15"/>
  <c r="N76" i="15"/>
  <c r="L76" i="15"/>
  <c r="N119" i="15"/>
  <c r="Z189" i="18"/>
  <c r="X189" i="18"/>
  <c r="N191" i="18"/>
  <c r="L191" i="18"/>
  <c r="J18" i="4"/>
  <c r="F24" i="4"/>
  <c r="V24" i="4"/>
  <c r="F21" i="5"/>
  <c r="R27" i="5"/>
  <c r="R31" i="5"/>
  <c r="R34" i="5"/>
  <c r="D16" i="6"/>
  <c r="F24" i="6"/>
  <c r="J21" i="7"/>
  <c r="J18" i="8"/>
  <c r="F24" i="8"/>
  <c r="V24" i="8"/>
  <c r="V94" i="9"/>
  <c r="V89" i="9"/>
  <c r="V87" i="9"/>
  <c r="V83" i="9"/>
  <c r="F16" i="9"/>
  <c r="V16" i="9"/>
  <c r="J22" i="9"/>
  <c r="F23" i="9"/>
  <c r="V26" i="9"/>
  <c r="F30" i="9"/>
  <c r="V30" i="9"/>
  <c r="J34" i="9"/>
  <c r="F35" i="9"/>
  <c r="J38" i="9"/>
  <c r="V42" i="9"/>
  <c r="J46" i="9"/>
  <c r="V50" i="9"/>
  <c r="F55" i="9"/>
  <c r="R56" i="9"/>
  <c r="F58" i="9"/>
  <c r="V58" i="9"/>
  <c r="R59" i="9"/>
  <c r="F62" i="9"/>
  <c r="V62" i="9"/>
  <c r="R63" i="9"/>
  <c r="J66" i="9"/>
  <c r="V70" i="9"/>
  <c r="V74" i="9"/>
  <c r="R75" i="9"/>
  <c r="V78" i="9"/>
  <c r="R79" i="9"/>
  <c r="J80" i="9"/>
  <c r="Z82" i="9"/>
  <c r="R85" i="9"/>
  <c r="F21" i="10"/>
  <c r="F18" i="10"/>
  <c r="F36" i="10"/>
  <c r="F33" i="10"/>
  <c r="F29" i="10"/>
  <c r="F25" i="10"/>
  <c r="D18" i="10"/>
  <c r="F15" i="10"/>
  <c r="F22" i="10"/>
  <c r="V27" i="11"/>
  <c r="X13" i="12"/>
  <c r="Z13" i="12" s="1"/>
  <c r="P12" i="12"/>
  <c r="N19" i="12"/>
  <c r="L19" i="12"/>
  <c r="N67" i="12"/>
  <c r="L67" i="12"/>
  <c r="N148" i="12"/>
  <c r="Z216" i="12"/>
  <c r="N13" i="13"/>
  <c r="L13" i="13"/>
  <c r="D18" i="14"/>
  <c r="L15" i="14"/>
  <c r="X24" i="15"/>
  <c r="Z24" i="15" s="1"/>
  <c r="L60" i="15"/>
  <c r="N60" i="15" s="1"/>
  <c r="Z64" i="15"/>
  <c r="X64" i="15"/>
  <c r="L68" i="15"/>
  <c r="N68" i="15" s="1"/>
  <c r="R74" i="21"/>
  <c r="R62" i="21"/>
  <c r="R50" i="21"/>
  <c r="R47" i="21"/>
  <c r="R42" i="21"/>
  <c r="R38" i="21"/>
  <c r="R23" i="21"/>
  <c r="R80" i="21"/>
  <c r="R73" i="21"/>
  <c r="R61" i="21"/>
  <c r="R58" i="21"/>
  <c r="R53" i="21"/>
  <c r="R41" i="21"/>
  <c r="R37" i="21"/>
  <c r="R30" i="21"/>
  <c r="R71" i="21"/>
  <c r="R67" i="21"/>
  <c r="R60" i="21"/>
  <c r="R55" i="21"/>
  <c r="R52" i="21"/>
  <c r="R35" i="21"/>
  <c r="P27" i="21"/>
  <c r="R84" i="21"/>
  <c r="R78" i="21"/>
  <c r="R75" i="21"/>
  <c r="R70" i="21"/>
  <c r="R66" i="21"/>
  <c r="R63" i="21"/>
  <c r="R46" i="21"/>
  <c r="R43" i="21"/>
  <c r="R57" i="21"/>
  <c r="R54" i="21"/>
  <c r="R33" i="21"/>
  <c r="R77" i="21"/>
  <c r="R69" i="21"/>
  <c r="R65" i="21"/>
  <c r="R48" i="21"/>
  <c r="R45" i="21"/>
  <c r="R32" i="21"/>
  <c r="R29" i="21"/>
  <c r="R76" i="21"/>
  <c r="R36" i="21"/>
  <c r="R25" i="21"/>
  <c r="R27" i="21"/>
  <c r="R34" i="21"/>
  <c r="R59" i="21"/>
  <c r="R31" i="21"/>
  <c r="R56" i="21"/>
  <c r="R51" i="21"/>
  <c r="R44" i="21"/>
  <c r="R24" i="21"/>
  <c r="R72" i="21"/>
  <c r="R68" i="21"/>
  <c r="R64" i="21"/>
  <c r="R49" i="21"/>
  <c r="R40" i="21"/>
  <c r="R39" i="21"/>
  <c r="T246" i="3"/>
  <c r="X12" i="4"/>
  <c r="J21" i="4"/>
  <c r="F27" i="4"/>
  <c r="V27" i="4"/>
  <c r="F31" i="4"/>
  <c r="V31" i="4"/>
  <c r="F34" i="4"/>
  <c r="V34" i="4"/>
  <c r="R16" i="5"/>
  <c r="J18" i="5"/>
  <c r="R20" i="5"/>
  <c r="F24" i="5"/>
  <c r="V24" i="5"/>
  <c r="F16" i="6"/>
  <c r="V16" i="6"/>
  <c r="F20" i="6"/>
  <c r="V20" i="6"/>
  <c r="F26" i="6"/>
  <c r="V26" i="6"/>
  <c r="F29" i="6"/>
  <c r="V29" i="6"/>
  <c r="V20" i="7"/>
  <c r="J24" i="7"/>
  <c r="X12" i="8"/>
  <c r="J21" i="8"/>
  <c r="F27" i="8"/>
  <c r="V27" i="8"/>
  <c r="F31" i="8"/>
  <c r="V31" i="8"/>
  <c r="F34" i="8"/>
  <c r="V34" i="8"/>
  <c r="X12" i="9"/>
  <c r="H16" i="9"/>
  <c r="F19" i="9"/>
  <c r="V19" i="9"/>
  <c r="R20" i="9"/>
  <c r="J23" i="9"/>
  <c r="F24" i="9"/>
  <c r="V27" i="9"/>
  <c r="R28" i="9"/>
  <c r="V31" i="9"/>
  <c r="R32" i="9"/>
  <c r="J35" i="9"/>
  <c r="F36" i="9"/>
  <c r="R37" i="9"/>
  <c r="F39" i="9"/>
  <c r="V39" i="9"/>
  <c r="R40" i="9"/>
  <c r="J41" i="9"/>
  <c r="F44" i="9"/>
  <c r="R45" i="9"/>
  <c r="F47" i="9"/>
  <c r="V47" i="9"/>
  <c r="R48" i="9"/>
  <c r="J49" i="9"/>
  <c r="F52" i="9"/>
  <c r="J55" i="9"/>
  <c r="V59" i="9"/>
  <c r="R60" i="9"/>
  <c r="V63" i="9"/>
  <c r="R64" i="9"/>
  <c r="F67" i="9"/>
  <c r="V67" i="9"/>
  <c r="R68" i="9"/>
  <c r="J69" i="9"/>
  <c r="V75" i="9"/>
  <c r="R76" i="9"/>
  <c r="J77" i="9"/>
  <c r="V79" i="9"/>
  <c r="V82" i="9"/>
  <c r="R89" i="9"/>
  <c r="R91" i="9"/>
  <c r="J36" i="10"/>
  <c r="J33" i="10"/>
  <c r="J29" i="10"/>
  <c r="J25" i="10"/>
  <c r="H18" i="10"/>
  <c r="J15" i="10"/>
  <c r="J22" i="10"/>
  <c r="N12" i="10"/>
  <c r="J34" i="10"/>
  <c r="J31" i="10"/>
  <c r="J27" i="10"/>
  <c r="X15" i="10"/>
  <c r="P18" i="10"/>
  <c r="F24" i="10"/>
  <c r="X33" i="10"/>
  <c r="V34" i="10"/>
  <c r="V34" i="11"/>
  <c r="X15" i="12"/>
  <c r="Z15" i="12" s="1"/>
  <c r="L17" i="12"/>
  <c r="N17" i="12" s="1"/>
  <c r="Z20" i="12"/>
  <c r="X28" i="12"/>
  <c r="Z28" i="12" s="1"/>
  <c r="N32" i="12"/>
  <c r="N40" i="12"/>
  <c r="X53" i="12"/>
  <c r="Z53" i="12" s="1"/>
  <c r="N60" i="12"/>
  <c r="X63" i="12"/>
  <c r="Z63" i="12" s="1"/>
  <c r="L65" i="12"/>
  <c r="Z68" i="12"/>
  <c r="N124" i="12"/>
  <c r="N136" i="12"/>
  <c r="Z158" i="12"/>
  <c r="L160" i="12"/>
  <c r="N196" i="12"/>
  <c r="L13" i="15"/>
  <c r="D12" i="15"/>
  <c r="X14" i="15"/>
  <c r="Z14" i="15" s="1"/>
  <c r="N20" i="15"/>
  <c r="L20" i="15"/>
  <c r="Z49" i="15"/>
  <c r="Z56" i="15"/>
  <c r="X56" i="15"/>
  <c r="L58" i="15"/>
  <c r="N58" i="15" s="1"/>
  <c r="Z61" i="15"/>
  <c r="Z164" i="15"/>
  <c r="J27" i="4"/>
  <c r="J31" i="4"/>
  <c r="J34" i="4"/>
  <c r="F20" i="5"/>
  <c r="R22" i="5"/>
  <c r="R18" i="6"/>
  <c r="R22" i="6"/>
  <c r="R28" i="6"/>
  <c r="R31" i="6"/>
  <c r="J16" i="7"/>
  <c r="J20" i="7"/>
  <c r="J27" i="8"/>
  <c r="J31" i="8"/>
  <c r="J34" i="8"/>
  <c r="F94" i="9"/>
  <c r="F87" i="9"/>
  <c r="J19" i="9"/>
  <c r="V21" i="9"/>
  <c r="J25" i="9"/>
  <c r="F26" i="9"/>
  <c r="V29" i="9"/>
  <c r="V33" i="9"/>
  <c r="R34" i="9"/>
  <c r="F37" i="9"/>
  <c r="V37" i="9"/>
  <c r="R38" i="9"/>
  <c r="J39" i="9"/>
  <c r="F42" i="9"/>
  <c r="R43" i="9"/>
  <c r="F45" i="9"/>
  <c r="V45" i="9"/>
  <c r="R46" i="9"/>
  <c r="J47" i="9"/>
  <c r="F50" i="9"/>
  <c r="R51" i="9"/>
  <c r="J53" i="9"/>
  <c r="V57" i="9"/>
  <c r="V61" i="9"/>
  <c r="V65" i="9"/>
  <c r="R66" i="9"/>
  <c r="J67" i="9"/>
  <c r="F70" i="9"/>
  <c r="R71" i="9"/>
  <c r="J73" i="9"/>
  <c r="F74" i="9"/>
  <c r="F78" i="9"/>
  <c r="J81" i="9"/>
  <c r="F83" i="9"/>
  <c r="F85" i="9"/>
  <c r="V91" i="9"/>
  <c r="R94" i="9"/>
  <c r="P27" i="11"/>
  <c r="F24" i="11"/>
  <c r="T12" i="12"/>
  <c r="X45" i="12"/>
  <c r="Z45" i="12" s="1"/>
  <c r="N51" i="12"/>
  <c r="L51" i="12"/>
  <c r="Z60" i="12"/>
  <c r="Z136" i="12"/>
  <c r="N150" i="12"/>
  <c r="X178" i="12"/>
  <c r="L204" i="12"/>
  <c r="P12" i="15"/>
  <c r="X38" i="15"/>
  <c r="Z38" i="15" s="1"/>
  <c r="N44" i="15"/>
  <c r="L44" i="15"/>
  <c r="X48" i="15"/>
  <c r="Z48" i="15" s="1"/>
  <c r="L50" i="15"/>
  <c r="N50" i="15" s="1"/>
  <c r="Z53" i="15"/>
  <c r="N65" i="15"/>
  <c r="Z120" i="15"/>
  <c r="N167" i="18"/>
  <c r="L167" i="18"/>
  <c r="J16" i="4"/>
  <c r="J20" i="4"/>
  <c r="F22" i="4"/>
  <c r="V22" i="4"/>
  <c r="R15" i="5"/>
  <c r="P18" i="5"/>
  <c r="R25" i="5"/>
  <c r="R29" i="5"/>
  <c r="R33" i="5"/>
  <c r="R36" i="5"/>
  <c r="R24" i="6"/>
  <c r="J16" i="8"/>
  <c r="J20" i="8"/>
  <c r="F22" i="8"/>
  <c r="V22" i="8"/>
  <c r="J26" i="9"/>
  <c r="F27" i="9"/>
  <c r="F31" i="9"/>
  <c r="V34" i="9"/>
  <c r="V38" i="9"/>
  <c r="J42" i="9"/>
  <c r="V46" i="9"/>
  <c r="J50" i="9"/>
  <c r="F54" i="9"/>
  <c r="V54" i="9"/>
  <c r="R55" i="9"/>
  <c r="J56" i="9"/>
  <c r="F59" i="9"/>
  <c r="F63" i="9"/>
  <c r="V66" i="9"/>
  <c r="J70" i="9"/>
  <c r="J74" i="9"/>
  <c r="F75" i="9"/>
  <c r="J78" i="9"/>
  <c r="F79" i="9"/>
  <c r="R80" i="9"/>
  <c r="J83" i="9"/>
  <c r="V21" i="10"/>
  <c r="V18" i="10"/>
  <c r="V36" i="10"/>
  <c r="V33" i="10"/>
  <c r="V29" i="10"/>
  <c r="V25" i="10"/>
  <c r="T18" i="10"/>
  <c r="V15" i="10"/>
  <c r="V16" i="10"/>
  <c r="F18" i="11"/>
  <c r="F36" i="11"/>
  <c r="F33" i="11"/>
  <c r="F29" i="11"/>
  <c r="F25" i="11"/>
  <c r="D18" i="11"/>
  <c r="F15" i="11"/>
  <c r="L12" i="11"/>
  <c r="F22" i="11"/>
  <c r="F20" i="11"/>
  <c r="F16" i="11"/>
  <c r="F21" i="11"/>
  <c r="F31" i="11"/>
  <c r="N16" i="12"/>
  <c r="X47" i="12"/>
  <c r="Z47" i="12" s="1"/>
  <c r="Z160" i="12"/>
  <c r="Z178" i="12"/>
  <c r="N204" i="12"/>
  <c r="N207" i="12"/>
  <c r="N217" i="12"/>
  <c r="X15" i="14"/>
  <c r="P18" i="14"/>
  <c r="X40" i="15"/>
  <c r="Z40" i="15" s="1"/>
  <c r="T230" i="18"/>
  <c r="X231" i="18"/>
  <c r="Z231" i="18" s="1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F22" i="5"/>
  <c r="V22" i="5"/>
  <c r="F14" i="6"/>
  <c r="V14" i="6"/>
  <c r="F18" i="6"/>
  <c r="V18" i="6"/>
  <c r="F22" i="6"/>
  <c r="V22" i="6"/>
  <c r="V24" i="6"/>
  <c r="F28" i="6"/>
  <c r="V28" i="6"/>
  <c r="F31" i="6"/>
  <c r="N12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V33" i="8"/>
  <c r="F36" i="8"/>
  <c r="V36" i="8"/>
  <c r="L12" i="9"/>
  <c r="P16" i="9"/>
  <c r="F20" i="9"/>
  <c r="V23" i="9"/>
  <c r="R24" i="9"/>
  <c r="J27" i="9"/>
  <c r="F28" i="9"/>
  <c r="J31" i="9"/>
  <c r="F32" i="9"/>
  <c r="V35" i="9"/>
  <c r="R36" i="9"/>
  <c r="J37" i="9"/>
  <c r="F40" i="9"/>
  <c r="R41" i="9"/>
  <c r="F43" i="9"/>
  <c r="V43" i="9"/>
  <c r="R44" i="9"/>
  <c r="J45" i="9"/>
  <c r="F48" i="9"/>
  <c r="R49" i="9"/>
  <c r="F51" i="9"/>
  <c r="V51" i="9"/>
  <c r="R52" i="9"/>
  <c r="V55" i="9"/>
  <c r="J59" i="9"/>
  <c r="F60" i="9"/>
  <c r="J63" i="9"/>
  <c r="F64" i="9"/>
  <c r="F68" i="9"/>
  <c r="R69" i="9"/>
  <c r="F71" i="9"/>
  <c r="V71" i="9"/>
  <c r="R72" i="9"/>
  <c r="J75" i="9"/>
  <c r="F76" i="9"/>
  <c r="R77" i="9"/>
  <c r="J79" i="9"/>
  <c r="V81" i="9"/>
  <c r="J85" i="9"/>
  <c r="F89" i="9"/>
  <c r="F91" i="9"/>
  <c r="X12" i="10"/>
  <c r="Z16" i="10"/>
  <c r="L24" i="11"/>
  <c r="F27" i="11"/>
  <c r="H12" i="12"/>
  <c r="L12" i="12" s="1"/>
  <c r="L16" i="12"/>
  <c r="Z24" i="12"/>
  <c r="X37" i="12"/>
  <c r="Z37" i="12" s="1"/>
  <c r="N43" i="12"/>
  <c r="L43" i="12"/>
  <c r="N76" i="12"/>
  <c r="X160" i="12"/>
  <c r="N162" i="12"/>
  <c r="J36" i="14"/>
  <c r="J33" i="14"/>
  <c r="J29" i="14"/>
  <c r="J25" i="14"/>
  <c r="H18" i="14"/>
  <c r="J15" i="14"/>
  <c r="J22" i="14"/>
  <c r="N12" i="14"/>
  <c r="L12" i="14"/>
  <c r="J34" i="14"/>
  <c r="J31" i="14"/>
  <c r="J27" i="14"/>
  <c r="J21" i="14"/>
  <c r="J18" i="14"/>
  <c r="N36" i="15"/>
  <c r="L36" i="15"/>
  <c r="Z73" i="15"/>
  <c r="Z131" i="15"/>
  <c r="H82" i="21"/>
  <c r="N12" i="4"/>
  <c r="L12" i="5"/>
  <c r="F15" i="5"/>
  <c r="V15" i="5"/>
  <c r="D18" i="5"/>
  <c r="T18" i="5"/>
  <c r="F25" i="5"/>
  <c r="V25" i="5"/>
  <c r="F29" i="5"/>
  <c r="V29" i="5"/>
  <c r="F33" i="5"/>
  <c r="V33" i="5"/>
  <c r="J15" i="7"/>
  <c r="H18" i="7"/>
  <c r="J25" i="7"/>
  <c r="R27" i="7"/>
  <c r="J29" i="7"/>
  <c r="R31" i="7"/>
  <c r="J33" i="7"/>
  <c r="N12" i="8"/>
  <c r="N12" i="9"/>
  <c r="J14" i="9"/>
  <c r="R16" i="9"/>
  <c r="J18" i="9"/>
  <c r="J20" i="9"/>
  <c r="F21" i="9"/>
  <c r="V24" i="9"/>
  <c r="R25" i="9"/>
  <c r="J28" i="9"/>
  <c r="F29" i="9"/>
  <c r="R30" i="9"/>
  <c r="J32" i="9"/>
  <c r="F33" i="9"/>
  <c r="V36" i="9"/>
  <c r="J40" i="9"/>
  <c r="V44" i="9"/>
  <c r="J48" i="9"/>
  <c r="V52" i="9"/>
  <c r="R53" i="9"/>
  <c r="J54" i="9"/>
  <c r="F57" i="9"/>
  <c r="R58" i="9"/>
  <c r="J60" i="9"/>
  <c r="F61" i="9"/>
  <c r="R62" i="9"/>
  <c r="J64" i="9"/>
  <c r="F65" i="9"/>
  <c r="J68" i="9"/>
  <c r="V72" i="9"/>
  <c r="R73" i="9"/>
  <c r="J76" i="9"/>
  <c r="F80" i="9"/>
  <c r="V80" i="9"/>
  <c r="X82" i="9"/>
  <c r="J87" i="9"/>
  <c r="J89" i="9"/>
  <c r="Z12" i="10"/>
  <c r="F16" i="10"/>
  <c r="J18" i="10"/>
  <c r="J20" i="10"/>
  <c r="V22" i="10"/>
  <c r="V27" i="10"/>
  <c r="R24" i="11"/>
  <c r="R21" i="11"/>
  <c r="R18" i="11"/>
  <c r="R22" i="11"/>
  <c r="R34" i="11"/>
  <c r="R31" i="11"/>
  <c r="R27" i="11"/>
  <c r="R15" i="11"/>
  <c r="R36" i="11"/>
  <c r="X21" i="12"/>
  <c r="Z21" i="12" s="1"/>
  <c r="N28" i="12"/>
  <c r="Z31" i="12"/>
  <c r="X31" i="12"/>
  <c r="L33" i="12"/>
  <c r="X39" i="12"/>
  <c r="Z39" i="12" s="1"/>
  <c r="L41" i="12"/>
  <c r="N41" i="12" s="1"/>
  <c r="Z44" i="12"/>
  <c r="X69" i="12"/>
  <c r="Z69" i="12" s="1"/>
  <c r="N75" i="12"/>
  <c r="L75" i="12"/>
  <c r="Z79" i="12"/>
  <c r="X79" i="12"/>
  <c r="X146" i="12"/>
  <c r="Z146" i="12" s="1"/>
  <c r="Z150" i="12"/>
  <c r="L162" i="12"/>
  <c r="Z169" i="12"/>
  <c r="Z204" i="12"/>
  <c r="Z219" i="12"/>
  <c r="F24" i="13"/>
  <c r="F21" i="13"/>
  <c r="F18" i="13"/>
  <c r="F22" i="13"/>
  <c r="F20" i="13"/>
  <c r="F16" i="13"/>
  <c r="F34" i="13"/>
  <c r="F31" i="13"/>
  <c r="F27" i="13"/>
  <c r="F15" i="13"/>
  <c r="J20" i="14"/>
  <c r="X33" i="14"/>
  <c r="Z25" i="15"/>
  <c r="N29" i="15"/>
  <c r="X32" i="15"/>
  <c r="Z32" i="15" s="1"/>
  <c r="L34" i="15"/>
  <c r="N34" i="15" s="1"/>
  <c r="Z37" i="15"/>
  <c r="N49" i="15"/>
  <c r="Z65" i="15"/>
  <c r="X70" i="15"/>
  <c r="Z70" i="15" s="1"/>
  <c r="T12" i="18"/>
  <c r="D12" i="21"/>
  <c r="V24" i="14"/>
  <c r="T12" i="15"/>
  <c r="N143" i="15"/>
  <c r="N188" i="15"/>
  <c r="L34" i="17"/>
  <c r="L18" i="18"/>
  <c r="Z30" i="18"/>
  <c r="N36" i="18"/>
  <c r="Z37" i="18"/>
  <c r="N58" i="18"/>
  <c r="X62" i="18"/>
  <c r="N65" i="18"/>
  <c r="Z85" i="18"/>
  <c r="N179" i="18"/>
  <c r="L179" i="18"/>
  <c r="N186" i="18"/>
  <c r="L207" i="18"/>
  <c r="N207" i="18" s="1"/>
  <c r="Z24" i="20"/>
  <c r="X24" i="20"/>
  <c r="J37" i="21"/>
  <c r="D86" i="24"/>
  <c r="N160" i="15"/>
  <c r="X164" i="15"/>
  <c r="N176" i="15"/>
  <c r="N18" i="18"/>
  <c r="X22" i="18"/>
  <c r="Z22" i="18" s="1"/>
  <c r="Z48" i="18"/>
  <c r="L50" i="18"/>
  <c r="Z62" i="18"/>
  <c r="Z69" i="18"/>
  <c r="Z77" i="18"/>
  <c r="N142" i="18"/>
  <c r="Z177" i="18"/>
  <c r="X177" i="18"/>
  <c r="X230" i="18"/>
  <c r="V95" i="27"/>
  <c r="V91" i="27"/>
  <c r="V83" i="27"/>
  <c r="V75" i="27"/>
  <c r="V63" i="27"/>
  <c r="V47" i="27"/>
  <c r="V39" i="27"/>
  <c r="V108" i="27"/>
  <c r="V98" i="27"/>
  <c r="V94" i="27"/>
  <c r="V90" i="27"/>
  <c r="V82" i="27"/>
  <c r="V74" i="27"/>
  <c r="V62" i="27"/>
  <c r="V46" i="27"/>
  <c r="V38" i="27"/>
  <c r="V101" i="27"/>
  <c r="V97" i="27"/>
  <c r="V85" i="27"/>
  <c r="V77" i="27"/>
  <c r="V73" i="27"/>
  <c r="V61" i="27"/>
  <c r="V57" i="27"/>
  <c r="V53" i="27"/>
  <c r="V45" i="27"/>
  <c r="V106" i="27"/>
  <c r="V100" i="27"/>
  <c r="V96" i="27"/>
  <c r="V84" i="27"/>
  <c r="V76" i="27"/>
  <c r="V72" i="27"/>
  <c r="V60" i="27"/>
  <c r="V52" i="27"/>
  <c r="V44" i="27"/>
  <c r="V103" i="27"/>
  <c r="V99" i="27"/>
  <c r="V87" i="27"/>
  <c r="V79" i="27"/>
  <c r="V71" i="27"/>
  <c r="V67" i="27"/>
  <c r="V59" i="27"/>
  <c r="V51" i="27"/>
  <c r="V43" i="27"/>
  <c r="V112" i="27"/>
  <c r="V102" i="27"/>
  <c r="V86" i="27"/>
  <c r="V78" i="27"/>
  <c r="V70" i="27"/>
  <c r="V66" i="27"/>
  <c r="V58" i="27"/>
  <c r="V50" i="27"/>
  <c r="V42" i="27"/>
  <c r="V107" i="27"/>
  <c r="V93" i="27"/>
  <c r="V89" i="27"/>
  <c r="V81" i="27"/>
  <c r="V69" i="27"/>
  <c r="V65" i="27"/>
  <c r="V49" i="27"/>
  <c r="V41" i="27"/>
  <c r="V48" i="27"/>
  <c r="V88" i="27"/>
  <c r="V80" i="27"/>
  <c r="T55" i="27"/>
  <c r="V55" i="27" s="1"/>
  <c r="V68" i="27"/>
  <c r="V92" i="27"/>
  <c r="D12" i="27"/>
  <c r="L15" i="27"/>
  <c r="N15" i="27" s="1"/>
  <c r="R25" i="10"/>
  <c r="R29" i="10"/>
  <c r="R33" i="10"/>
  <c r="R36" i="10"/>
  <c r="J24" i="11"/>
  <c r="J16" i="13"/>
  <c r="J20" i="13"/>
  <c r="V22" i="13"/>
  <c r="R25" i="14"/>
  <c r="R29" i="14"/>
  <c r="R33" i="14"/>
  <c r="R36" i="14"/>
  <c r="Z141" i="15"/>
  <c r="X14" i="18"/>
  <c r="Z14" i="18" s="1"/>
  <c r="N17" i="18"/>
  <c r="N42" i="18"/>
  <c r="X46" i="18"/>
  <c r="Z46" i="18" s="1"/>
  <c r="N53" i="18"/>
  <c r="Z54" i="18"/>
  <c r="Z61" i="18"/>
  <c r="Z65" i="18"/>
  <c r="L82" i="18"/>
  <c r="L90" i="18"/>
  <c r="N141" i="18"/>
  <c r="N153" i="18"/>
  <c r="N165" i="18"/>
  <c r="L227" i="18"/>
  <c r="N227" i="18" s="1"/>
  <c r="N235" i="18"/>
  <c r="V22" i="19"/>
  <c r="V20" i="19"/>
  <c r="V16" i="19"/>
  <c r="Z12" i="19"/>
  <c r="V34" i="19"/>
  <c r="V31" i="19"/>
  <c r="V27" i="19"/>
  <c r="V21" i="19"/>
  <c r="V18" i="19"/>
  <c r="V36" i="19"/>
  <c r="V33" i="19"/>
  <c r="V29" i="19"/>
  <c r="V25" i="19"/>
  <c r="T18" i="19"/>
  <c r="V15" i="19"/>
  <c r="Z34" i="19"/>
  <c r="X34" i="19"/>
  <c r="V64" i="27"/>
  <c r="J16" i="11"/>
  <c r="J20" i="11"/>
  <c r="V15" i="14"/>
  <c r="T18" i="14"/>
  <c r="F25" i="14"/>
  <c r="V25" i="14"/>
  <c r="F29" i="14"/>
  <c r="V29" i="14"/>
  <c r="F33" i="14"/>
  <c r="V33" i="14"/>
  <c r="F36" i="14"/>
  <c r="V36" i="14"/>
  <c r="N148" i="15"/>
  <c r="N196" i="15"/>
  <c r="Z208" i="15"/>
  <c r="P12" i="18"/>
  <c r="H12" i="18"/>
  <c r="N34" i="18"/>
  <c r="Z57" i="18"/>
  <c r="N74" i="18"/>
  <c r="Z153" i="18"/>
  <c r="X153" i="18"/>
  <c r="Z165" i="18"/>
  <c r="X165" i="18"/>
  <c r="L223" i="18"/>
  <c r="N223" i="18" s="1"/>
  <c r="N23" i="21"/>
  <c r="R24" i="10"/>
  <c r="H216" i="12"/>
  <c r="L216" i="12" s="1"/>
  <c r="J15" i="13"/>
  <c r="H18" i="13"/>
  <c r="V21" i="13"/>
  <c r="J25" i="13"/>
  <c r="R27" i="13"/>
  <c r="J29" i="13"/>
  <c r="R31" i="13"/>
  <c r="J33" i="13"/>
  <c r="R34" i="13"/>
  <c r="J36" i="13"/>
  <c r="F18" i="14"/>
  <c r="V18" i="14"/>
  <c r="R24" i="14"/>
  <c r="L148" i="15"/>
  <c r="X196" i="15"/>
  <c r="H208" i="15"/>
  <c r="L16" i="16"/>
  <c r="Z17" i="18"/>
  <c r="N37" i="18"/>
  <c r="Z38" i="18"/>
  <c r="Z45" i="18"/>
  <c r="N66" i="18"/>
  <c r="N85" i="18"/>
  <c r="Z86" i="18"/>
  <c r="Z141" i="18"/>
  <c r="N161" i="18"/>
  <c r="Z167" i="18"/>
  <c r="Z175" i="18"/>
  <c r="N193" i="18"/>
  <c r="Z221" i="18"/>
  <c r="X221" i="18"/>
  <c r="N21" i="19"/>
  <c r="L21" i="19"/>
  <c r="T12" i="24"/>
  <c r="X13" i="24"/>
  <c r="Z13" i="24" s="1"/>
  <c r="V40" i="27"/>
  <c r="R27" i="10"/>
  <c r="R31" i="10"/>
  <c r="N12" i="11"/>
  <c r="R16" i="13"/>
  <c r="R27" i="14"/>
  <c r="R31" i="14"/>
  <c r="N180" i="15"/>
  <c r="Z196" i="15"/>
  <c r="F21" i="16"/>
  <c r="F18" i="16"/>
  <c r="F36" i="16"/>
  <c r="F33" i="16"/>
  <c r="F29" i="16"/>
  <c r="F25" i="16"/>
  <c r="D18" i="16"/>
  <c r="F15" i="16"/>
  <c r="L12" i="16"/>
  <c r="F22" i="16"/>
  <c r="F20" i="16"/>
  <c r="F16" i="16"/>
  <c r="F34" i="16"/>
  <c r="F31" i="16"/>
  <c r="F27" i="16"/>
  <c r="F24" i="16"/>
  <c r="L20" i="16"/>
  <c r="N26" i="18"/>
  <c r="X30" i="18"/>
  <c r="N33" i="18"/>
  <c r="Z49" i="18"/>
  <c r="L58" i="18"/>
  <c r="X70" i="18"/>
  <c r="Z70" i="18" s="1"/>
  <c r="N73" i="18"/>
  <c r="N77" i="18"/>
  <c r="Z78" i="18"/>
  <c r="Z223" i="18"/>
  <c r="L231" i="18"/>
  <c r="N231" i="18" s="1"/>
  <c r="D230" i="18"/>
  <c r="V24" i="19"/>
  <c r="J75" i="21"/>
  <c r="J63" i="21"/>
  <c r="J57" i="21"/>
  <c r="J43" i="21"/>
  <c r="J39" i="21"/>
  <c r="J33" i="21"/>
  <c r="J25" i="21"/>
  <c r="J89" i="21"/>
  <c r="J82" i="21"/>
  <c r="J54" i="21"/>
  <c r="J48" i="21"/>
  <c r="J32" i="21"/>
  <c r="J24" i="21"/>
  <c r="J74" i="21"/>
  <c r="J62" i="21"/>
  <c r="J56" i="21"/>
  <c r="J50" i="21"/>
  <c r="J42" i="21"/>
  <c r="J38" i="21"/>
  <c r="J73" i="21"/>
  <c r="J61" i="21"/>
  <c r="J53" i="21"/>
  <c r="J47" i="21"/>
  <c r="J86" i="21"/>
  <c r="J80" i="21"/>
  <c r="J76" i="21"/>
  <c r="J72" i="21"/>
  <c r="J68" i="21"/>
  <c r="J64" i="21"/>
  <c r="J58" i="21"/>
  <c r="J44" i="21"/>
  <c r="J40" i="21"/>
  <c r="J36" i="21"/>
  <c r="J71" i="21"/>
  <c r="J67" i="21"/>
  <c r="J55" i="21"/>
  <c r="J49" i="21"/>
  <c r="J35" i="21"/>
  <c r="J27" i="21"/>
  <c r="J69" i="21"/>
  <c r="J65" i="21"/>
  <c r="J23" i="21"/>
  <c r="J77" i="21"/>
  <c r="J46" i="21"/>
  <c r="J70" i="21"/>
  <c r="J66" i="21"/>
  <c r="J41" i="21"/>
  <c r="J30" i="21"/>
  <c r="J78" i="21"/>
  <c r="J60" i="21"/>
  <c r="J59" i="21"/>
  <c r="J34" i="21"/>
  <c r="J31" i="21"/>
  <c r="N12" i="21"/>
  <c r="J84" i="21"/>
  <c r="J52" i="21"/>
  <c r="J51" i="21"/>
  <c r="J45" i="21"/>
  <c r="Z29" i="21"/>
  <c r="R16" i="16"/>
  <c r="J18" i="16"/>
  <c r="R20" i="16"/>
  <c r="V24" i="16"/>
  <c r="J15" i="17"/>
  <c r="H18" i="17"/>
  <c r="F21" i="17"/>
  <c r="V21" i="17"/>
  <c r="J25" i="17"/>
  <c r="R27" i="17"/>
  <c r="J29" i="17"/>
  <c r="R31" i="17"/>
  <c r="J33" i="17"/>
  <c r="R34" i="17"/>
  <c r="J36" i="17"/>
  <c r="L142" i="18"/>
  <c r="X184" i="18"/>
  <c r="Z184" i="18" s="1"/>
  <c r="L186" i="18"/>
  <c r="L218" i="18"/>
  <c r="N218" i="18" s="1"/>
  <c r="H230" i="18"/>
  <c r="L236" i="18"/>
  <c r="L12" i="19"/>
  <c r="F15" i="19"/>
  <c r="D18" i="19"/>
  <c r="L20" i="19"/>
  <c r="R21" i="19"/>
  <c r="F25" i="19"/>
  <c r="F29" i="19"/>
  <c r="F33" i="19"/>
  <c r="F36" i="19"/>
  <c r="J16" i="20"/>
  <c r="J20" i="20"/>
  <c r="F22" i="20"/>
  <c r="V22" i="20"/>
  <c r="X16" i="21"/>
  <c r="N75" i="21"/>
  <c r="X12" i="22"/>
  <c r="R20" i="22"/>
  <c r="R16" i="22"/>
  <c r="R24" i="22"/>
  <c r="R21" i="22"/>
  <c r="R18" i="22"/>
  <c r="R36" i="22"/>
  <c r="R33" i="22"/>
  <c r="R29" i="22"/>
  <c r="R25" i="22"/>
  <c r="P18" i="22"/>
  <c r="R15" i="22"/>
  <c r="F32" i="24"/>
  <c r="L58" i="24"/>
  <c r="N58" i="24" s="1"/>
  <c r="X68" i="24"/>
  <c r="Z68" i="24" s="1"/>
  <c r="N74" i="24"/>
  <c r="L29" i="26"/>
  <c r="X18" i="27"/>
  <c r="N21" i="27"/>
  <c r="X26" i="27"/>
  <c r="N29" i="27"/>
  <c r="X34" i="27"/>
  <c r="J36" i="28"/>
  <c r="J33" i="28"/>
  <c r="J29" i="28"/>
  <c r="J25" i="28"/>
  <c r="J24" i="28"/>
  <c r="J21" i="28"/>
  <c r="J34" i="28"/>
  <c r="J27" i="28"/>
  <c r="J18" i="28"/>
  <c r="H18" i="28"/>
  <c r="J15" i="28"/>
  <c r="J22" i="28"/>
  <c r="N12" i="28"/>
  <c r="J31" i="28"/>
  <c r="J18" i="17"/>
  <c r="V24" i="17"/>
  <c r="N12" i="19"/>
  <c r="F18" i="19"/>
  <c r="J22" i="19"/>
  <c r="R24" i="19"/>
  <c r="L12" i="20"/>
  <c r="F15" i="20"/>
  <c r="D18" i="20"/>
  <c r="F25" i="20"/>
  <c r="F29" i="20"/>
  <c r="F33" i="20"/>
  <c r="V33" i="20"/>
  <c r="F36" i="20"/>
  <c r="V36" i="20"/>
  <c r="X21" i="21"/>
  <c r="X52" i="21"/>
  <c r="Z52" i="21" s="1"/>
  <c r="L54" i="21"/>
  <c r="X16" i="23"/>
  <c r="X21" i="23"/>
  <c r="L17" i="24"/>
  <c r="N17" i="24" s="1"/>
  <c r="Z21" i="24"/>
  <c r="X21" i="24"/>
  <c r="N25" i="24"/>
  <c r="L25" i="24"/>
  <c r="F52" i="24"/>
  <c r="X56" i="24"/>
  <c r="R27" i="25"/>
  <c r="L33" i="26"/>
  <c r="Z18" i="27"/>
  <c r="Z26" i="27"/>
  <c r="Z34" i="27"/>
  <c r="R22" i="16"/>
  <c r="J24" i="16"/>
  <c r="X12" i="17"/>
  <c r="J21" i="17"/>
  <c r="F27" i="17"/>
  <c r="V27" i="17"/>
  <c r="F31" i="17"/>
  <c r="V31" i="17"/>
  <c r="F34" i="17"/>
  <c r="V34" i="17"/>
  <c r="L16" i="18"/>
  <c r="N16" i="18" s="1"/>
  <c r="H18" i="19"/>
  <c r="F21" i="19"/>
  <c r="J25" i="19"/>
  <c r="R27" i="19"/>
  <c r="J29" i="19"/>
  <c r="R31" i="19"/>
  <c r="J33" i="19"/>
  <c r="R34" i="19"/>
  <c r="J36" i="19"/>
  <c r="Z21" i="21"/>
  <c r="N63" i="21"/>
  <c r="L34" i="22"/>
  <c r="X20" i="23"/>
  <c r="Z56" i="24"/>
  <c r="Z74" i="24"/>
  <c r="F79" i="24"/>
  <c r="R24" i="25"/>
  <c r="R21" i="25"/>
  <c r="R18" i="25"/>
  <c r="R36" i="25"/>
  <c r="R33" i="25"/>
  <c r="R29" i="25"/>
  <c r="R25" i="25"/>
  <c r="P18" i="25"/>
  <c r="R15" i="25"/>
  <c r="R22" i="25"/>
  <c r="X12" i="25"/>
  <c r="R20" i="25"/>
  <c r="R16" i="25"/>
  <c r="T27" i="25"/>
  <c r="Z25" i="27"/>
  <c r="Z33" i="27"/>
  <c r="D105" i="27"/>
  <c r="L105" i="27" s="1"/>
  <c r="N105" i="27" s="1"/>
  <c r="L107" i="27"/>
  <c r="N210" i="15"/>
  <c r="Z212" i="15"/>
  <c r="J16" i="16"/>
  <c r="R18" i="16"/>
  <c r="J20" i="16"/>
  <c r="V22" i="16"/>
  <c r="P18" i="17"/>
  <c r="R25" i="17"/>
  <c r="J27" i="17"/>
  <c r="R29" i="17"/>
  <c r="J31" i="17"/>
  <c r="R33" i="17"/>
  <c r="J34" i="17"/>
  <c r="D12" i="18"/>
  <c r="X12" i="19"/>
  <c r="J21" i="19"/>
  <c r="F27" i="19"/>
  <c r="F31" i="19"/>
  <c r="F34" i="19"/>
  <c r="L15" i="20"/>
  <c r="F24" i="20"/>
  <c r="T12" i="21"/>
  <c r="L16" i="21"/>
  <c r="X29" i="21"/>
  <c r="Z39" i="21"/>
  <c r="N77" i="21"/>
  <c r="N22" i="24"/>
  <c r="F48" i="24"/>
  <c r="D208" i="15"/>
  <c r="J16" i="17"/>
  <c r="J20" i="17"/>
  <c r="V22" i="17"/>
  <c r="F16" i="19"/>
  <c r="F20" i="19"/>
  <c r="R22" i="19"/>
  <c r="J24" i="19"/>
  <c r="F27" i="20"/>
  <c r="F31" i="20"/>
  <c r="Z54" i="21"/>
  <c r="X24" i="22"/>
  <c r="L25" i="23"/>
  <c r="R34" i="25"/>
  <c r="L15" i="26"/>
  <c r="L22" i="27"/>
  <c r="L30" i="27"/>
  <c r="X15" i="28"/>
  <c r="L143" i="15"/>
  <c r="X153" i="15"/>
  <c r="Z153" i="15" s="1"/>
  <c r="L13" i="16"/>
  <c r="J22" i="16"/>
  <c r="R24" i="16"/>
  <c r="L12" i="17"/>
  <c r="V15" i="17"/>
  <c r="T18" i="17"/>
  <c r="F25" i="17"/>
  <c r="V25" i="17"/>
  <c r="F29" i="17"/>
  <c r="V29" i="17"/>
  <c r="F33" i="17"/>
  <c r="V33" i="17"/>
  <c r="V36" i="17"/>
  <c r="X16" i="18"/>
  <c r="Z16" i="18" s="1"/>
  <c r="L20" i="18"/>
  <c r="X24" i="18"/>
  <c r="Z24" i="18" s="1"/>
  <c r="L28" i="18"/>
  <c r="N28" i="18" s="1"/>
  <c r="X32" i="18"/>
  <c r="Z32" i="18" s="1"/>
  <c r="L36" i="18"/>
  <c r="X40" i="18"/>
  <c r="Z40" i="18" s="1"/>
  <c r="L44" i="18"/>
  <c r="X48" i="18"/>
  <c r="L52" i="18"/>
  <c r="N52" i="18" s="1"/>
  <c r="X56" i="18"/>
  <c r="Z56" i="18" s="1"/>
  <c r="L60" i="18"/>
  <c r="N60" i="18" s="1"/>
  <c r="X64" i="18"/>
  <c r="L68" i="18"/>
  <c r="N68" i="18" s="1"/>
  <c r="X72" i="18"/>
  <c r="Z72" i="18" s="1"/>
  <c r="L76" i="18"/>
  <c r="N76" i="18" s="1"/>
  <c r="X80" i="18"/>
  <c r="Z80" i="18" s="1"/>
  <c r="L84" i="18"/>
  <c r="N84" i="18" s="1"/>
  <c r="X88" i="18"/>
  <c r="Z88" i="18" s="1"/>
  <c r="P18" i="19"/>
  <c r="R25" i="19"/>
  <c r="J27" i="19"/>
  <c r="R29" i="19"/>
  <c r="J31" i="19"/>
  <c r="R33" i="19"/>
  <c r="J34" i="19"/>
  <c r="R36" i="19"/>
  <c r="X13" i="21"/>
  <c r="L20" i="21"/>
  <c r="X47" i="21"/>
  <c r="Z47" i="21" s="1"/>
  <c r="L49" i="21"/>
  <c r="N49" i="21" s="1"/>
  <c r="Z13" i="23"/>
  <c r="X13" i="23"/>
  <c r="L24" i="23"/>
  <c r="L29" i="23"/>
  <c r="N44" i="24"/>
  <c r="X24" i="25"/>
  <c r="H12" i="27"/>
  <c r="L14" i="27"/>
  <c r="N14" i="27" s="1"/>
  <c r="N22" i="27"/>
  <c r="N30" i="27"/>
  <c r="T105" i="27"/>
  <c r="H18" i="16"/>
  <c r="J25" i="16"/>
  <c r="R27" i="16"/>
  <c r="J29" i="16"/>
  <c r="R31" i="16"/>
  <c r="J33" i="16"/>
  <c r="N12" i="17"/>
  <c r="J16" i="19"/>
  <c r="F86" i="24"/>
  <c r="F74" i="24"/>
  <c r="F67" i="24"/>
  <c r="F58" i="24"/>
  <c r="F55" i="24"/>
  <c r="F51" i="24"/>
  <c r="F47" i="24"/>
  <c r="F39" i="24"/>
  <c r="F31" i="24"/>
  <c r="F81" i="24"/>
  <c r="F78" i="24"/>
  <c r="F70" i="24"/>
  <c r="F61" i="24"/>
  <c r="F46" i="24"/>
  <c r="F38" i="24"/>
  <c r="F77" i="24"/>
  <c r="F73" i="24"/>
  <c r="F69" i="24"/>
  <c r="F64" i="24"/>
  <c r="F57" i="24"/>
  <c r="F44" i="24"/>
  <c r="F37" i="24"/>
  <c r="F80" i="24"/>
  <c r="F76" i="24"/>
  <c r="F72" i="24"/>
  <c r="F60" i="24"/>
  <c r="F36" i="24"/>
  <c r="L12" i="24"/>
  <c r="F84" i="24"/>
  <c r="F75" i="24"/>
  <c r="F66" i="24"/>
  <c r="F63" i="24"/>
  <c r="F59" i="24"/>
  <c r="F54" i="24"/>
  <c r="F50" i="24"/>
  <c r="F35" i="24"/>
  <c r="F30" i="24"/>
  <c r="F88" i="24"/>
  <c r="F82" i="24"/>
  <c r="F62" i="24"/>
  <c r="F45" i="24"/>
  <c r="F34" i="24"/>
  <c r="F68" i="24"/>
  <c r="F65" i="24"/>
  <c r="F56" i="24"/>
  <c r="F53" i="24"/>
  <c r="F49" i="24"/>
  <c r="F42" i="24"/>
  <c r="F33" i="24"/>
  <c r="P12" i="24"/>
  <c r="X14" i="24"/>
  <c r="Z14" i="24" s="1"/>
  <c r="F40" i="24"/>
  <c r="Z15" i="28"/>
  <c r="T18" i="28"/>
  <c r="J27" i="22"/>
  <c r="J31" i="22"/>
  <c r="J34" i="22"/>
  <c r="F16" i="23"/>
  <c r="V16" i="23"/>
  <c r="F20" i="23"/>
  <c r="V20" i="23"/>
  <c r="R22" i="23"/>
  <c r="J24" i="23"/>
  <c r="J18" i="25"/>
  <c r="F24" i="25"/>
  <c r="V24" i="25"/>
  <c r="J15" i="26"/>
  <c r="H18" i="26"/>
  <c r="F21" i="26"/>
  <c r="V21" i="26"/>
  <c r="J25" i="26"/>
  <c r="R27" i="26"/>
  <c r="J29" i="26"/>
  <c r="R31" i="26"/>
  <c r="J33" i="26"/>
  <c r="R34" i="26"/>
  <c r="J36" i="26"/>
  <c r="P12" i="27"/>
  <c r="L12" i="28"/>
  <c r="F15" i="28"/>
  <c r="D18" i="28"/>
  <c r="R21" i="28"/>
  <c r="V27" i="28"/>
  <c r="F33" i="28"/>
  <c r="V34" i="28"/>
  <c r="J36" i="29"/>
  <c r="J33" i="29"/>
  <c r="J29" i="29"/>
  <c r="J25" i="29"/>
  <c r="H18" i="29"/>
  <c r="J15" i="29"/>
  <c r="J22" i="29"/>
  <c r="N12" i="29"/>
  <c r="J24" i="29"/>
  <c r="J21" i="29"/>
  <c r="X13" i="29"/>
  <c r="J27" i="29"/>
  <c r="Z16" i="30"/>
  <c r="N19" i="30"/>
  <c r="L28" i="30"/>
  <c r="N28" i="30" s="1"/>
  <c r="Z31" i="30"/>
  <c r="Z41" i="30"/>
  <c r="L44" i="30"/>
  <c r="L104" i="30"/>
  <c r="N104" i="30" s="1"/>
  <c r="N15" i="31"/>
  <c r="L15" i="31"/>
  <c r="N25" i="31"/>
  <c r="L25" i="31"/>
  <c r="R27" i="31"/>
  <c r="N15" i="32"/>
  <c r="L15" i="32"/>
  <c r="H18" i="32"/>
  <c r="N29" i="32"/>
  <c r="L29" i="32"/>
  <c r="V29" i="33"/>
  <c r="V39" i="33"/>
  <c r="V43" i="33"/>
  <c r="V55" i="33"/>
  <c r="Z20" i="35"/>
  <c r="X20" i="35"/>
  <c r="N14" i="36"/>
  <c r="J24" i="36"/>
  <c r="J37" i="36"/>
  <c r="F75" i="36"/>
  <c r="J79" i="36"/>
  <c r="J24" i="37"/>
  <c r="J21" i="37"/>
  <c r="J36" i="37"/>
  <c r="J33" i="37"/>
  <c r="J29" i="37"/>
  <c r="J25" i="37"/>
  <c r="H18" i="37"/>
  <c r="J15" i="37"/>
  <c r="J20" i="37"/>
  <c r="J34" i="37"/>
  <c r="N12" i="37"/>
  <c r="J31" i="37"/>
  <c r="J18" i="37"/>
  <c r="J16" i="37"/>
  <c r="N22" i="38"/>
  <c r="L22" i="38"/>
  <c r="R31" i="43"/>
  <c r="Z21" i="44"/>
  <c r="X21" i="44"/>
  <c r="J16" i="22"/>
  <c r="J20" i="22"/>
  <c r="F22" i="22"/>
  <c r="V22" i="22"/>
  <c r="R15" i="23"/>
  <c r="P18" i="23"/>
  <c r="R25" i="23"/>
  <c r="J27" i="23"/>
  <c r="R29" i="23"/>
  <c r="J31" i="23"/>
  <c r="R33" i="23"/>
  <c r="J34" i="23"/>
  <c r="R36" i="23"/>
  <c r="J21" i="25"/>
  <c r="F27" i="25"/>
  <c r="V27" i="25"/>
  <c r="F31" i="25"/>
  <c r="V31" i="25"/>
  <c r="F34" i="25"/>
  <c r="V34" i="25"/>
  <c r="J18" i="26"/>
  <c r="F24" i="26"/>
  <c r="V24" i="26"/>
  <c r="X107" i="27"/>
  <c r="Z107" i="27" s="1"/>
  <c r="N44" i="30"/>
  <c r="X82" i="30"/>
  <c r="Z82" i="30" s="1"/>
  <c r="Z114" i="30"/>
  <c r="X114" i="30"/>
  <c r="Z131" i="30"/>
  <c r="X138" i="30"/>
  <c r="Z138" i="30" s="1"/>
  <c r="X147" i="30"/>
  <c r="Z147" i="30" s="1"/>
  <c r="P145" i="30"/>
  <c r="X145" i="30" s="1"/>
  <c r="L14" i="33"/>
  <c r="D12" i="33"/>
  <c r="Z62" i="33"/>
  <c r="Z22" i="34"/>
  <c r="X22" i="34"/>
  <c r="T27" i="35"/>
  <c r="J104" i="36"/>
  <c r="J100" i="36"/>
  <c r="J94" i="36"/>
  <c r="J88" i="36"/>
  <c r="J80" i="36"/>
  <c r="J76" i="36"/>
  <c r="J72" i="36"/>
  <c r="J64" i="36"/>
  <c r="J111" i="36"/>
  <c r="J105" i="36"/>
  <c r="J93" i="36"/>
  <c r="J85" i="36"/>
  <c r="J75" i="36"/>
  <c r="J71" i="36"/>
  <c r="J63" i="36"/>
  <c r="J55" i="36"/>
  <c r="J98" i="36"/>
  <c r="J92" i="36"/>
  <c r="J82" i="36"/>
  <c r="J68" i="36"/>
  <c r="J60" i="36"/>
  <c r="J106" i="36"/>
  <c r="J90" i="36"/>
  <c r="J84" i="36"/>
  <c r="J74" i="36"/>
  <c r="J70" i="36"/>
  <c r="J62" i="36"/>
  <c r="J54" i="36"/>
  <c r="J48" i="36"/>
  <c r="J87" i="36"/>
  <c r="J81" i="36"/>
  <c r="J69" i="36"/>
  <c r="J49" i="36"/>
  <c r="J40" i="36"/>
  <c r="J36" i="36"/>
  <c r="J28" i="36"/>
  <c r="J26" i="36"/>
  <c r="N12" i="36"/>
  <c r="J91" i="36"/>
  <c r="J77" i="36"/>
  <c r="J73" i="36"/>
  <c r="J39" i="36"/>
  <c r="J35" i="36"/>
  <c r="J96" i="36"/>
  <c r="J83" i="36"/>
  <c r="J78" i="36"/>
  <c r="J44" i="36"/>
  <c r="J38" i="36"/>
  <c r="J34" i="36"/>
  <c r="J20" i="36"/>
  <c r="J95" i="36"/>
  <c r="J53" i="36"/>
  <c r="J47" i="36"/>
  <c r="J33" i="36"/>
  <c r="J27" i="36"/>
  <c r="J99" i="36"/>
  <c r="J86" i="36"/>
  <c r="J65" i="36"/>
  <c r="J59" i="36"/>
  <c r="J58" i="36"/>
  <c r="J42" i="36"/>
  <c r="J30" i="36"/>
  <c r="J22" i="36"/>
  <c r="J67" i="36"/>
  <c r="J66" i="36"/>
  <c r="J61" i="36"/>
  <c r="J56" i="36"/>
  <c r="J45" i="36"/>
  <c r="J41" i="36"/>
  <c r="J29" i="36"/>
  <c r="J21" i="36"/>
  <c r="X14" i="36"/>
  <c r="P12" i="36"/>
  <c r="J31" i="36"/>
  <c r="J97" i="36"/>
  <c r="J107" i="36"/>
  <c r="Z24" i="43"/>
  <c r="X24" i="43"/>
  <c r="J16" i="23"/>
  <c r="J20" i="23"/>
  <c r="H12" i="24"/>
  <c r="J24" i="25"/>
  <c r="F27" i="26"/>
  <c r="F31" i="26"/>
  <c r="F34" i="26"/>
  <c r="R34" i="28"/>
  <c r="R31" i="28"/>
  <c r="R27" i="28"/>
  <c r="R36" i="28"/>
  <c r="F21" i="28"/>
  <c r="V21" i="28"/>
  <c r="F24" i="28"/>
  <c r="V24" i="28"/>
  <c r="J34" i="29"/>
  <c r="N13" i="30"/>
  <c r="T12" i="30"/>
  <c r="Z15" i="30"/>
  <c r="Z24" i="30"/>
  <c r="N27" i="30"/>
  <c r="N37" i="30"/>
  <c r="Z40" i="30"/>
  <c r="N43" i="30"/>
  <c r="N133" i="30"/>
  <c r="N29" i="31"/>
  <c r="L29" i="31"/>
  <c r="R31" i="31"/>
  <c r="L13" i="32"/>
  <c r="Z21" i="32"/>
  <c r="X21" i="32"/>
  <c r="N14" i="33"/>
  <c r="N23" i="33"/>
  <c r="Z25" i="33"/>
  <c r="X25" i="33"/>
  <c r="N32" i="33"/>
  <c r="V51" i="33"/>
  <c r="N77" i="33"/>
  <c r="L77" i="33"/>
  <c r="P18" i="34"/>
  <c r="X15" i="35"/>
  <c r="P18" i="35"/>
  <c r="Z14" i="36"/>
  <c r="L18" i="36"/>
  <c r="X20" i="36"/>
  <c r="Z20" i="36" s="1"/>
  <c r="F27" i="36"/>
  <c r="F33" i="36"/>
  <c r="J46" i="36"/>
  <c r="J50" i="36"/>
  <c r="N53" i="36"/>
  <c r="J22" i="37"/>
  <c r="R24" i="43"/>
  <c r="R21" i="43"/>
  <c r="R18" i="43"/>
  <c r="R36" i="43"/>
  <c r="R33" i="43"/>
  <c r="R29" i="43"/>
  <c r="R25" i="43"/>
  <c r="P18" i="43"/>
  <c r="R15" i="43"/>
  <c r="R22" i="43"/>
  <c r="X12" i="43"/>
  <c r="R20" i="43"/>
  <c r="R16" i="43"/>
  <c r="R27" i="43"/>
  <c r="D27" i="43"/>
  <c r="F36" i="52"/>
  <c r="F33" i="52"/>
  <c r="F29" i="52"/>
  <c r="F25" i="52"/>
  <c r="F31" i="52"/>
  <c r="F21" i="52"/>
  <c r="F18" i="52"/>
  <c r="F24" i="52"/>
  <c r="D18" i="52"/>
  <c r="F15" i="52"/>
  <c r="L12" i="52"/>
  <c r="F20" i="52"/>
  <c r="F16" i="52"/>
  <c r="F34" i="52"/>
  <c r="F22" i="52"/>
  <c r="F27" i="52"/>
  <c r="X42" i="56"/>
  <c r="Z42" i="56" s="1"/>
  <c r="N12" i="22"/>
  <c r="F18" i="22"/>
  <c r="V18" i="22"/>
  <c r="J22" i="22"/>
  <c r="L12" i="23"/>
  <c r="F15" i="23"/>
  <c r="V15" i="23"/>
  <c r="D18" i="23"/>
  <c r="T18" i="23"/>
  <c r="R21" i="23"/>
  <c r="F25" i="23"/>
  <c r="V25" i="23"/>
  <c r="F29" i="23"/>
  <c r="V29" i="23"/>
  <c r="F33" i="23"/>
  <c r="V33" i="23"/>
  <c r="F36" i="23"/>
  <c r="V36" i="23"/>
  <c r="J27" i="25"/>
  <c r="J31" i="25"/>
  <c r="J34" i="25"/>
  <c r="F16" i="26"/>
  <c r="V16" i="26"/>
  <c r="F20" i="26"/>
  <c r="V20" i="26"/>
  <c r="J24" i="26"/>
  <c r="R16" i="28"/>
  <c r="R20" i="28"/>
  <c r="V29" i="28"/>
  <c r="V24" i="29"/>
  <c r="V21" i="29"/>
  <c r="V18" i="29"/>
  <c r="V36" i="29"/>
  <c r="V20" i="29"/>
  <c r="V16" i="29"/>
  <c r="Z12" i="29"/>
  <c r="V34" i="29"/>
  <c r="V31" i="29"/>
  <c r="V27" i="29"/>
  <c r="V15" i="29"/>
  <c r="T18" i="29"/>
  <c r="V29" i="29"/>
  <c r="P12" i="30"/>
  <c r="X15" i="30"/>
  <c r="L52" i="30"/>
  <c r="X54" i="30"/>
  <c r="Z54" i="30" s="1"/>
  <c r="L140" i="30"/>
  <c r="N140" i="30" s="1"/>
  <c r="X24" i="31"/>
  <c r="N33" i="32"/>
  <c r="L33" i="32"/>
  <c r="N13" i="33"/>
  <c r="H12" i="33"/>
  <c r="Z64" i="33"/>
  <c r="X64" i="33"/>
  <c r="N16" i="34"/>
  <c r="L16" i="34"/>
  <c r="N18" i="36"/>
  <c r="L27" i="36"/>
  <c r="N27" i="36" s="1"/>
  <c r="F52" i="36"/>
  <c r="J101" i="36"/>
  <c r="N15" i="39"/>
  <c r="L15" i="39"/>
  <c r="Z17" i="39"/>
  <c r="L17" i="42"/>
  <c r="N17" i="42" s="1"/>
  <c r="X64" i="42"/>
  <c r="Z64" i="42" s="1"/>
  <c r="X88" i="42"/>
  <c r="Z88" i="42" s="1"/>
  <c r="L90" i="42"/>
  <c r="N90" i="42" s="1"/>
  <c r="Z15" i="47"/>
  <c r="X15" i="47"/>
  <c r="T18" i="47"/>
  <c r="J16" i="25"/>
  <c r="J20" i="25"/>
  <c r="Z145" i="30"/>
  <c r="N33" i="31"/>
  <c r="L33" i="31"/>
  <c r="L22" i="33"/>
  <c r="X32" i="33"/>
  <c r="Z32" i="33" s="1"/>
  <c r="V64" i="33"/>
  <c r="X76" i="33"/>
  <c r="P75" i="33"/>
  <c r="Z16" i="35"/>
  <c r="X16" i="35"/>
  <c r="Z13" i="36"/>
  <c r="T12" i="36"/>
  <c r="N17" i="36"/>
  <c r="N26" i="36"/>
  <c r="F44" i="36"/>
  <c r="J52" i="36"/>
  <c r="D12" i="39"/>
  <c r="L14" i="39"/>
  <c r="N52" i="42"/>
  <c r="N13" i="47"/>
  <c r="L13" i="47"/>
  <c r="J18" i="22"/>
  <c r="F24" i="22"/>
  <c r="V24" i="22"/>
  <c r="J15" i="23"/>
  <c r="H18" i="23"/>
  <c r="F21" i="23"/>
  <c r="V21" i="23"/>
  <c r="J25" i="23"/>
  <c r="R27" i="23"/>
  <c r="J29" i="23"/>
  <c r="R31" i="23"/>
  <c r="J33" i="23"/>
  <c r="R34" i="23"/>
  <c r="J36" i="23"/>
  <c r="L14" i="24"/>
  <c r="X18" i="24"/>
  <c r="Z18" i="24" s="1"/>
  <c r="L22" i="24"/>
  <c r="X26" i="24"/>
  <c r="Z26" i="24" s="1"/>
  <c r="L12" i="25"/>
  <c r="D18" i="25"/>
  <c r="F25" i="25"/>
  <c r="F29" i="25"/>
  <c r="V29" i="25"/>
  <c r="F33" i="25"/>
  <c r="V33" i="25"/>
  <c r="F36" i="25"/>
  <c r="V36" i="25"/>
  <c r="J16" i="26"/>
  <c r="F22" i="26"/>
  <c r="V22" i="26"/>
  <c r="X15" i="27"/>
  <c r="Z15" i="27" s="1"/>
  <c r="L19" i="27"/>
  <c r="N19" i="27" s="1"/>
  <c r="X23" i="27"/>
  <c r="Z23" i="27" s="1"/>
  <c r="L27" i="27"/>
  <c r="N27" i="27" s="1"/>
  <c r="X31" i="27"/>
  <c r="Z31" i="27" s="1"/>
  <c r="L35" i="27"/>
  <c r="N35" i="27" s="1"/>
  <c r="X13" i="28"/>
  <c r="X23" i="30"/>
  <c r="Z23" i="30" s="1"/>
  <c r="N36" i="30"/>
  <c r="X39" i="30"/>
  <c r="R36" i="31"/>
  <c r="R33" i="31"/>
  <c r="R29" i="31"/>
  <c r="R25" i="31"/>
  <c r="P18" i="31"/>
  <c r="R15" i="31"/>
  <c r="R22" i="31"/>
  <c r="X12" i="31"/>
  <c r="R20" i="31"/>
  <c r="R16" i="31"/>
  <c r="R21" i="31"/>
  <c r="R18" i="31"/>
  <c r="Z21" i="31"/>
  <c r="X21" i="31"/>
  <c r="N25" i="32"/>
  <c r="L25" i="32"/>
  <c r="X18" i="33"/>
  <c r="P12" i="33"/>
  <c r="V32" i="33"/>
  <c r="F21" i="34"/>
  <c r="F18" i="34"/>
  <c r="F36" i="34"/>
  <c r="F33" i="34"/>
  <c r="F29" i="34"/>
  <c r="F25" i="34"/>
  <c r="D18" i="34"/>
  <c r="F15" i="34"/>
  <c r="L12" i="34"/>
  <c r="F22" i="34"/>
  <c r="F34" i="34"/>
  <c r="F31" i="34"/>
  <c r="F27" i="34"/>
  <c r="F24" i="34"/>
  <c r="F20" i="34"/>
  <c r="N34" i="34"/>
  <c r="L34" i="34"/>
  <c r="J57" i="36"/>
  <c r="F27" i="22"/>
  <c r="V27" i="22"/>
  <c r="F31" i="22"/>
  <c r="V31" i="22"/>
  <c r="R16" i="23"/>
  <c r="N12" i="25"/>
  <c r="L12" i="26"/>
  <c r="F15" i="26"/>
  <c r="V15" i="26"/>
  <c r="D18" i="26"/>
  <c r="T18" i="26"/>
  <c r="F25" i="26"/>
  <c r="V25" i="26"/>
  <c r="F29" i="26"/>
  <c r="V29" i="26"/>
  <c r="F33" i="26"/>
  <c r="V33" i="26"/>
  <c r="P18" i="28"/>
  <c r="L22" i="28"/>
  <c r="V22" i="28"/>
  <c r="V25" i="28"/>
  <c r="L29" i="28"/>
  <c r="F31" i="28"/>
  <c r="L13" i="29"/>
  <c r="V22" i="29"/>
  <c r="D12" i="30"/>
  <c r="Z17" i="30"/>
  <c r="L20" i="30"/>
  <c r="Z32" i="30"/>
  <c r="N35" i="30"/>
  <c r="N45" i="30"/>
  <c r="L51" i="30"/>
  <c r="Z102" i="30"/>
  <c r="X102" i="30"/>
  <c r="H18" i="31"/>
  <c r="R34" i="31"/>
  <c r="N22" i="32"/>
  <c r="L22" i="32"/>
  <c r="V68" i="33"/>
  <c r="V60" i="33"/>
  <c r="V56" i="33"/>
  <c r="V48" i="33"/>
  <c r="V36" i="33"/>
  <c r="V81" i="33"/>
  <c r="V71" i="33"/>
  <c r="V67" i="33"/>
  <c r="V63" i="33"/>
  <c r="V59" i="33"/>
  <c r="V47" i="33"/>
  <c r="V35" i="33"/>
  <c r="V31" i="33"/>
  <c r="V27" i="33"/>
  <c r="V76" i="33"/>
  <c r="V70" i="33"/>
  <c r="V66" i="33"/>
  <c r="V62" i="33"/>
  <c r="V58" i="33"/>
  <c r="V50" i="33"/>
  <c r="V34" i="33"/>
  <c r="V26" i="33"/>
  <c r="V73" i="33"/>
  <c r="V65" i="33"/>
  <c r="V49" i="33"/>
  <c r="V33" i="33"/>
  <c r="V25" i="33"/>
  <c r="V54" i="33"/>
  <c r="V46" i="33"/>
  <c r="V42" i="33"/>
  <c r="V38" i="33"/>
  <c r="T29" i="33"/>
  <c r="V75" i="33"/>
  <c r="V69" i="33"/>
  <c r="V61" i="33"/>
  <c r="V57" i="33"/>
  <c r="V53" i="33"/>
  <c r="V45" i="33"/>
  <c r="V41" i="33"/>
  <c r="V37" i="33"/>
  <c r="Z18" i="33"/>
  <c r="N21" i="33"/>
  <c r="Z31" i="33"/>
  <c r="V40" i="33"/>
  <c r="V44" i="33"/>
  <c r="Z49" i="33"/>
  <c r="X49" i="33"/>
  <c r="N62" i="33"/>
  <c r="X72" i="33"/>
  <c r="Z72" i="33" s="1"/>
  <c r="Z76" i="33"/>
  <c r="N20" i="34"/>
  <c r="L20" i="34"/>
  <c r="X13" i="35"/>
  <c r="N24" i="35"/>
  <c r="L24" i="35"/>
  <c r="Z15" i="37"/>
  <c r="X15" i="37"/>
  <c r="J27" i="37"/>
  <c r="X25" i="28"/>
  <c r="L33" i="28"/>
  <c r="X33" i="28"/>
  <c r="F24" i="29"/>
  <c r="F21" i="29"/>
  <c r="F18" i="29"/>
  <c r="F36" i="29"/>
  <c r="F20" i="29"/>
  <c r="F16" i="29"/>
  <c r="F34" i="29"/>
  <c r="F31" i="29"/>
  <c r="F27" i="29"/>
  <c r="J16" i="29"/>
  <c r="J18" i="29"/>
  <c r="J20" i="29"/>
  <c r="X22" i="29"/>
  <c r="H12" i="30"/>
  <c r="N20" i="30"/>
  <c r="Z47" i="30"/>
  <c r="N82" i="30"/>
  <c r="L117" i="30"/>
  <c r="X131" i="30"/>
  <c r="N138" i="30"/>
  <c r="N146" i="30"/>
  <c r="H145" i="30"/>
  <c r="L146" i="30"/>
  <c r="N15" i="33"/>
  <c r="L21" i="33"/>
  <c r="N51" i="33"/>
  <c r="L51" i="33"/>
  <c r="V52" i="33"/>
  <c r="V72" i="33"/>
  <c r="N34" i="35"/>
  <c r="L34" i="35"/>
  <c r="F106" i="36"/>
  <c r="F97" i="36"/>
  <c r="F89" i="36"/>
  <c r="F84" i="36"/>
  <c r="F81" i="36"/>
  <c r="F73" i="36"/>
  <c r="F107" i="36"/>
  <c r="F102" i="36"/>
  <c r="F86" i="36"/>
  <c r="F78" i="36"/>
  <c r="F69" i="36"/>
  <c r="F66" i="36"/>
  <c r="F61" i="36"/>
  <c r="F58" i="36"/>
  <c r="F53" i="36"/>
  <c r="F111" i="36"/>
  <c r="F96" i="36"/>
  <c r="F93" i="36"/>
  <c r="F85" i="36"/>
  <c r="F98" i="36"/>
  <c r="F95" i="36"/>
  <c r="F91" i="36"/>
  <c r="F82" i="36"/>
  <c r="F51" i="36"/>
  <c r="F46" i="36"/>
  <c r="F72" i="36"/>
  <c r="F70" i="36"/>
  <c r="F68" i="36"/>
  <c r="F65" i="36"/>
  <c r="F63" i="36"/>
  <c r="F59" i="36"/>
  <c r="F56" i="36"/>
  <c r="F45" i="36"/>
  <c r="F41" i="36"/>
  <c r="F29" i="36"/>
  <c r="F21" i="36"/>
  <c r="F105" i="36"/>
  <c r="F104" i="36"/>
  <c r="F92" i="36"/>
  <c r="F87" i="36"/>
  <c r="F71" i="36"/>
  <c r="F67" i="36"/>
  <c r="F49" i="36"/>
  <c r="F40" i="36"/>
  <c r="F36" i="36"/>
  <c r="F28" i="36"/>
  <c r="L12" i="36"/>
  <c r="F88" i="36"/>
  <c r="F55" i="36"/>
  <c r="F54" i="36"/>
  <c r="F39" i="36"/>
  <c r="F35" i="36"/>
  <c r="F26" i="36"/>
  <c r="F94" i="36"/>
  <c r="F83" i="36"/>
  <c r="F77" i="36"/>
  <c r="F76" i="36"/>
  <c r="F74" i="36"/>
  <c r="F48" i="36"/>
  <c r="F38" i="36"/>
  <c r="F34" i="36"/>
  <c r="F90" i="36"/>
  <c r="F80" i="36"/>
  <c r="F43" i="36"/>
  <c r="F31" i="36"/>
  <c r="F101" i="36"/>
  <c r="F100" i="36"/>
  <c r="F99" i="36"/>
  <c r="F64" i="36"/>
  <c r="F62" i="36"/>
  <c r="F60" i="36"/>
  <c r="F57" i="36"/>
  <c r="F50" i="36"/>
  <c r="F42" i="36"/>
  <c r="F37" i="36"/>
  <c r="F30" i="36"/>
  <c r="D24" i="36"/>
  <c r="F24" i="36" s="1"/>
  <c r="F22" i="36"/>
  <c r="F20" i="36"/>
  <c r="H24" i="36"/>
  <c r="J43" i="36"/>
  <c r="Z44" i="36"/>
  <c r="X44" i="36"/>
  <c r="F47" i="36"/>
  <c r="Z48" i="36"/>
  <c r="X48" i="36"/>
  <c r="J51" i="36"/>
  <c r="X67" i="36"/>
  <c r="Z67" i="36" s="1"/>
  <c r="F79" i="36"/>
  <c r="J89" i="36"/>
  <c r="F36" i="37"/>
  <c r="F33" i="37"/>
  <c r="F29" i="37"/>
  <c r="F25" i="37"/>
  <c r="D18" i="37"/>
  <c r="F15" i="37"/>
  <c r="L12" i="37"/>
  <c r="F20" i="37"/>
  <c r="F16" i="37"/>
  <c r="F34" i="37"/>
  <c r="F31" i="37"/>
  <c r="F27" i="37"/>
  <c r="F21" i="37"/>
  <c r="F18" i="37"/>
  <c r="F24" i="37"/>
  <c r="F22" i="37"/>
  <c r="Z24" i="39"/>
  <c r="L16" i="30"/>
  <c r="N16" i="30" s="1"/>
  <c r="X20" i="30"/>
  <c r="Z20" i="30" s="1"/>
  <c r="L24" i="30"/>
  <c r="N24" i="30" s="1"/>
  <c r="X28" i="30"/>
  <c r="Z28" i="30" s="1"/>
  <c r="L32" i="30"/>
  <c r="X36" i="30"/>
  <c r="Z36" i="30" s="1"/>
  <c r="L40" i="30"/>
  <c r="N40" i="30" s="1"/>
  <c r="X44" i="30"/>
  <c r="Z44" i="30" s="1"/>
  <c r="L48" i="30"/>
  <c r="X52" i="30"/>
  <c r="J16" i="31"/>
  <c r="J20" i="31"/>
  <c r="F22" i="31"/>
  <c r="V22" i="31"/>
  <c r="R15" i="32"/>
  <c r="P18" i="32"/>
  <c r="R25" i="32"/>
  <c r="J27" i="32"/>
  <c r="R29" i="32"/>
  <c r="J31" i="32"/>
  <c r="R33" i="32"/>
  <c r="J34" i="32"/>
  <c r="R36" i="32"/>
  <c r="Z13" i="33"/>
  <c r="L76" i="33"/>
  <c r="N76" i="33" s="1"/>
  <c r="R16" i="34"/>
  <c r="J18" i="34"/>
  <c r="R20" i="34"/>
  <c r="V24" i="34"/>
  <c r="J15" i="35"/>
  <c r="H18" i="35"/>
  <c r="F21" i="35"/>
  <c r="V21" i="35"/>
  <c r="J25" i="35"/>
  <c r="R27" i="35"/>
  <c r="J29" i="35"/>
  <c r="R31" i="35"/>
  <c r="J33" i="35"/>
  <c r="R34" i="35"/>
  <c r="J36" i="35"/>
  <c r="N13" i="36"/>
  <c r="L14" i="36"/>
  <c r="N65" i="36"/>
  <c r="N69" i="36"/>
  <c r="Z84" i="36"/>
  <c r="N20" i="37"/>
  <c r="P12" i="39"/>
  <c r="X14" i="39"/>
  <c r="Z14" i="39" s="1"/>
  <c r="T12" i="39"/>
  <c r="Z53" i="39"/>
  <c r="N67" i="39"/>
  <c r="Z86" i="39"/>
  <c r="N24" i="41"/>
  <c r="L24" i="41"/>
  <c r="N14" i="42"/>
  <c r="P93" i="42"/>
  <c r="H27" i="43"/>
  <c r="R22" i="29"/>
  <c r="X13" i="30"/>
  <c r="Z13" i="30" s="1"/>
  <c r="L12" i="31"/>
  <c r="F15" i="31"/>
  <c r="V15" i="31"/>
  <c r="D18" i="31"/>
  <c r="T18" i="31"/>
  <c r="F25" i="31"/>
  <c r="V25" i="31"/>
  <c r="F29" i="31"/>
  <c r="V29" i="31"/>
  <c r="F33" i="31"/>
  <c r="V33" i="31"/>
  <c r="F36" i="31"/>
  <c r="V36" i="31"/>
  <c r="J16" i="32"/>
  <c r="R18" i="32"/>
  <c r="J20" i="32"/>
  <c r="F22" i="32"/>
  <c r="V22" i="32"/>
  <c r="H75" i="33"/>
  <c r="X12" i="34"/>
  <c r="J21" i="34"/>
  <c r="V27" i="34"/>
  <c r="V31" i="34"/>
  <c r="V34" i="34"/>
  <c r="R16" i="35"/>
  <c r="J18" i="35"/>
  <c r="Z18" i="35"/>
  <c r="F24" i="35"/>
  <c r="N50" i="36"/>
  <c r="N57" i="36"/>
  <c r="N61" i="36"/>
  <c r="Z82" i="36"/>
  <c r="X84" i="36"/>
  <c r="L98" i="36"/>
  <c r="N106" i="36"/>
  <c r="X25" i="37"/>
  <c r="X19" i="39"/>
  <c r="Z19" i="39" s="1"/>
  <c r="N23" i="39"/>
  <c r="L23" i="39"/>
  <c r="X25" i="39"/>
  <c r="Z25" i="39" s="1"/>
  <c r="N55" i="39"/>
  <c r="L60" i="39"/>
  <c r="N60" i="39" s="1"/>
  <c r="Z69" i="39"/>
  <c r="N95" i="39"/>
  <c r="N102" i="39"/>
  <c r="N34" i="40"/>
  <c r="L34" i="40"/>
  <c r="P12" i="42"/>
  <c r="X14" i="42"/>
  <c r="Z14" i="42" s="1"/>
  <c r="X56" i="42"/>
  <c r="Z56" i="42" s="1"/>
  <c r="L58" i="42"/>
  <c r="N58" i="42" s="1"/>
  <c r="Z62" i="42"/>
  <c r="N64" i="42"/>
  <c r="Z86" i="42"/>
  <c r="T93" i="42"/>
  <c r="X94" i="42"/>
  <c r="Z94" i="42" s="1"/>
  <c r="N15" i="50"/>
  <c r="H18" i="50"/>
  <c r="F24" i="31"/>
  <c r="V24" i="31"/>
  <c r="R27" i="32"/>
  <c r="R31" i="32"/>
  <c r="R34" i="32"/>
  <c r="J16" i="34"/>
  <c r="R18" i="34"/>
  <c r="J20" i="34"/>
  <c r="N84" i="36"/>
  <c r="X22" i="37"/>
  <c r="H12" i="39"/>
  <c r="Z16" i="39"/>
  <c r="L27" i="39"/>
  <c r="N27" i="39" s="1"/>
  <c r="Z49" i="39"/>
  <c r="N15" i="44"/>
  <c r="L15" i="44"/>
  <c r="R24" i="29"/>
  <c r="J21" i="31"/>
  <c r="F27" i="31"/>
  <c r="V27" i="31"/>
  <c r="F31" i="31"/>
  <c r="V31" i="31"/>
  <c r="F34" i="31"/>
  <c r="V34" i="31"/>
  <c r="R16" i="32"/>
  <c r="J18" i="32"/>
  <c r="R20" i="32"/>
  <c r="F24" i="32"/>
  <c r="V24" i="32"/>
  <c r="T18" i="34"/>
  <c r="R21" i="34"/>
  <c r="V29" i="34"/>
  <c r="V33" i="34"/>
  <c r="J16" i="35"/>
  <c r="F22" i="35"/>
  <c r="Z63" i="36"/>
  <c r="L82" i="36"/>
  <c r="N82" i="36" s="1"/>
  <c r="N94" i="36"/>
  <c r="Z98" i="36"/>
  <c r="T104" i="36"/>
  <c r="Z106" i="36"/>
  <c r="X24" i="38"/>
  <c r="X34" i="39"/>
  <c r="Z34" i="39" s="1"/>
  <c r="N43" i="39"/>
  <c r="Z60" i="39"/>
  <c r="X65" i="39"/>
  <c r="Z65" i="39" s="1"/>
  <c r="Z84" i="39"/>
  <c r="P102" i="39"/>
  <c r="X102" i="39" s="1"/>
  <c r="Z102" i="39" s="1"/>
  <c r="X104" i="39"/>
  <c r="Z16" i="41"/>
  <c r="X16" i="41"/>
  <c r="Z20" i="41"/>
  <c r="X20" i="41"/>
  <c r="T12" i="42"/>
  <c r="Z13" i="42"/>
  <c r="X13" i="42"/>
  <c r="Z52" i="42"/>
  <c r="Z96" i="42"/>
  <c r="X49" i="45"/>
  <c r="Z49" i="45" s="1"/>
  <c r="V49" i="45"/>
  <c r="X80" i="45"/>
  <c r="Z80" i="45" s="1"/>
  <c r="V80" i="45"/>
  <c r="P90" i="51"/>
  <c r="X90" i="51" s="1"/>
  <c r="X92" i="51"/>
  <c r="R27" i="29"/>
  <c r="R31" i="29"/>
  <c r="Z12" i="31"/>
  <c r="F16" i="31"/>
  <c r="V16" i="31"/>
  <c r="X12" i="32"/>
  <c r="F27" i="32"/>
  <c r="V27" i="32"/>
  <c r="F31" i="32"/>
  <c r="V31" i="32"/>
  <c r="N12" i="34"/>
  <c r="J22" i="34"/>
  <c r="R24" i="34"/>
  <c r="L12" i="35"/>
  <c r="F15" i="35"/>
  <c r="D18" i="35"/>
  <c r="F25" i="35"/>
  <c r="F29" i="35"/>
  <c r="F33" i="35"/>
  <c r="F36" i="35"/>
  <c r="V36" i="37"/>
  <c r="V33" i="37"/>
  <c r="V29" i="37"/>
  <c r="V25" i="37"/>
  <c r="T18" i="37"/>
  <c r="V15" i="37"/>
  <c r="V20" i="37"/>
  <c r="V16" i="37"/>
  <c r="Z12" i="37"/>
  <c r="V34" i="37"/>
  <c r="V31" i="37"/>
  <c r="V27" i="37"/>
  <c r="X12" i="37"/>
  <c r="V21" i="37"/>
  <c r="L16" i="37"/>
  <c r="V22" i="37"/>
  <c r="R18" i="38"/>
  <c r="R36" i="38"/>
  <c r="R33" i="38"/>
  <c r="R29" i="38"/>
  <c r="R25" i="38"/>
  <c r="P18" i="38"/>
  <c r="R15" i="38"/>
  <c r="X12" i="38"/>
  <c r="R20" i="38"/>
  <c r="R16" i="38"/>
  <c r="R24" i="38"/>
  <c r="R21" i="38"/>
  <c r="R22" i="38"/>
  <c r="L34" i="38"/>
  <c r="Z22" i="39"/>
  <c r="X22" i="39"/>
  <c r="X33" i="39"/>
  <c r="Z33" i="39" s="1"/>
  <c r="X60" i="39"/>
  <c r="Z104" i="39"/>
  <c r="L26" i="42"/>
  <c r="N26" i="42" s="1"/>
  <c r="N50" i="42"/>
  <c r="L50" i="42"/>
  <c r="Z68" i="42"/>
  <c r="X68" i="42"/>
  <c r="L70" i="42"/>
  <c r="N70" i="42" s="1"/>
  <c r="L94" i="42"/>
  <c r="D93" i="42"/>
  <c r="N14" i="51"/>
  <c r="L14" i="51"/>
  <c r="T75" i="33"/>
  <c r="J15" i="34"/>
  <c r="H18" i="34"/>
  <c r="J25" i="34"/>
  <c r="R27" i="34"/>
  <c r="J29" i="34"/>
  <c r="R31" i="34"/>
  <c r="J33" i="34"/>
  <c r="N104" i="36"/>
  <c r="N18" i="39"/>
  <c r="L18" i="39"/>
  <c r="N62" i="39"/>
  <c r="Z13" i="41"/>
  <c r="X13" i="41"/>
  <c r="N94" i="42"/>
  <c r="F57" i="48"/>
  <c r="F48" i="48"/>
  <c r="F45" i="48"/>
  <c r="F25" i="48"/>
  <c r="F20" i="48"/>
  <c r="F51" i="48"/>
  <c r="F39" i="48"/>
  <c r="F36" i="48"/>
  <c r="F24" i="48"/>
  <c r="F60" i="48"/>
  <c r="F54" i="48"/>
  <c r="F47" i="48"/>
  <c r="F35" i="48"/>
  <c r="F30" i="48"/>
  <c r="F23" i="48"/>
  <c r="D17" i="48"/>
  <c r="F64" i="48"/>
  <c r="F50" i="48"/>
  <c r="F41" i="48"/>
  <c r="F38" i="48"/>
  <c r="F34" i="48"/>
  <c r="F22" i="48"/>
  <c r="F55" i="48"/>
  <c r="F46" i="48"/>
  <c r="F43" i="48"/>
  <c r="F31" i="48"/>
  <c r="F27" i="48"/>
  <c r="F59" i="48"/>
  <c r="F42" i="48"/>
  <c r="F37" i="48"/>
  <c r="F26" i="48"/>
  <c r="F56" i="48"/>
  <c r="F44" i="48"/>
  <c r="F40" i="48"/>
  <c r="F52" i="48"/>
  <c r="F53" i="48"/>
  <c r="F49" i="48"/>
  <c r="F32" i="48"/>
  <c r="F21" i="48"/>
  <c r="L12" i="48"/>
  <c r="F28" i="48"/>
  <c r="F19" i="48"/>
  <c r="F33" i="48"/>
  <c r="F15" i="48"/>
  <c r="F91" i="51"/>
  <c r="F85" i="51"/>
  <c r="F81" i="51"/>
  <c r="F78" i="51"/>
  <c r="F87" i="51"/>
  <c r="F84" i="51"/>
  <c r="F80" i="51"/>
  <c r="F92" i="51"/>
  <c r="F83" i="51"/>
  <c r="F74" i="51"/>
  <c r="F86" i="51"/>
  <c r="F82" i="51"/>
  <c r="F97" i="51"/>
  <c r="F75" i="51"/>
  <c r="F93" i="51"/>
  <c r="F58" i="51"/>
  <c r="F42" i="51"/>
  <c r="F68" i="51"/>
  <c r="F57" i="51"/>
  <c r="F52" i="51"/>
  <c r="F41" i="51"/>
  <c r="F88" i="51"/>
  <c r="F56" i="51"/>
  <c r="F40" i="51"/>
  <c r="F35" i="51"/>
  <c r="F73" i="51"/>
  <c r="F70" i="51"/>
  <c r="F67" i="51"/>
  <c r="F62" i="51"/>
  <c r="F55" i="51"/>
  <c r="D49" i="51"/>
  <c r="F47" i="51"/>
  <c r="F39" i="51"/>
  <c r="F64" i="51"/>
  <c r="F60" i="51"/>
  <c r="F51" i="51"/>
  <c r="F44" i="51"/>
  <c r="F36" i="51"/>
  <c r="F71" i="51"/>
  <c r="F63" i="51"/>
  <c r="F59" i="51"/>
  <c r="F43" i="51"/>
  <c r="F72" i="51"/>
  <c r="F61" i="51"/>
  <c r="F77" i="51"/>
  <c r="F76" i="51"/>
  <c r="F90" i="51"/>
  <c r="F69" i="51"/>
  <c r="F65" i="51"/>
  <c r="F53" i="51"/>
  <c r="F45" i="51"/>
  <c r="F66" i="51"/>
  <c r="F37" i="51"/>
  <c r="F54" i="51"/>
  <c r="F46" i="51"/>
  <c r="F38" i="51"/>
  <c r="F79" i="51"/>
  <c r="R27" i="37"/>
  <c r="R31" i="37"/>
  <c r="R34" i="37"/>
  <c r="N12" i="38"/>
  <c r="F18" i="38"/>
  <c r="V18" i="38"/>
  <c r="J22" i="38"/>
  <c r="R15" i="40"/>
  <c r="P18" i="40"/>
  <c r="R25" i="40"/>
  <c r="J27" i="40"/>
  <c r="R29" i="40"/>
  <c r="J31" i="40"/>
  <c r="R33" i="40"/>
  <c r="J34" i="40"/>
  <c r="R36" i="40"/>
  <c r="F16" i="41"/>
  <c r="F20" i="41"/>
  <c r="R22" i="41"/>
  <c r="F33" i="42"/>
  <c r="F37" i="42"/>
  <c r="F53" i="42"/>
  <c r="F56" i="42"/>
  <c r="F61" i="42"/>
  <c r="F64" i="42"/>
  <c r="F68" i="42"/>
  <c r="F85" i="42"/>
  <c r="F88" i="42"/>
  <c r="F94" i="42"/>
  <c r="L15" i="43"/>
  <c r="J18" i="43"/>
  <c r="F24" i="43"/>
  <c r="V24" i="43"/>
  <c r="R36" i="44"/>
  <c r="R33" i="44"/>
  <c r="R29" i="44"/>
  <c r="R25" i="44"/>
  <c r="R22" i="44"/>
  <c r="J15" i="44"/>
  <c r="H18" i="44"/>
  <c r="F21" i="44"/>
  <c r="R24" i="44"/>
  <c r="F74" i="45"/>
  <c r="F69" i="45"/>
  <c r="F65" i="45"/>
  <c r="F61" i="45"/>
  <c r="F58" i="45"/>
  <c r="F53" i="45"/>
  <c r="F50" i="45"/>
  <c r="F45" i="45"/>
  <c r="F42" i="45"/>
  <c r="F38" i="45"/>
  <c r="F26" i="45"/>
  <c r="F18" i="45"/>
  <c r="F86" i="45"/>
  <c r="F81" i="45"/>
  <c r="F73" i="45"/>
  <c r="F37" i="45"/>
  <c r="F33" i="45"/>
  <c r="F25" i="45"/>
  <c r="F90" i="45"/>
  <c r="F84" i="45"/>
  <c r="F72" i="45"/>
  <c r="F68" i="45"/>
  <c r="F64" i="45"/>
  <c r="F60" i="45"/>
  <c r="F55" i="45"/>
  <c r="F52" i="45"/>
  <c r="F47" i="45"/>
  <c r="F44" i="45"/>
  <c r="F36" i="45"/>
  <c r="F32" i="45"/>
  <c r="F23" i="45"/>
  <c r="F83" i="45"/>
  <c r="F78" i="45"/>
  <c r="F71" i="45"/>
  <c r="F67" i="45"/>
  <c r="F63" i="45"/>
  <c r="F35" i="45"/>
  <c r="F31" i="45"/>
  <c r="F82" i="45"/>
  <c r="F79" i="45"/>
  <c r="F75" i="45"/>
  <c r="F39" i="45"/>
  <c r="F34" i="45"/>
  <c r="F27" i="45"/>
  <c r="D21" i="45"/>
  <c r="F19" i="45"/>
  <c r="X17" i="45"/>
  <c r="Z17" i="45" s="1"/>
  <c r="L43" i="45"/>
  <c r="N43" i="45" s="1"/>
  <c r="R64" i="45"/>
  <c r="R74" i="45"/>
  <c r="F77" i="45"/>
  <c r="N78" i="45"/>
  <c r="J24" i="47"/>
  <c r="J21" i="47"/>
  <c r="J18" i="47"/>
  <c r="J36" i="47"/>
  <c r="J33" i="47"/>
  <c r="J29" i="47"/>
  <c r="J25" i="47"/>
  <c r="H18" i="47"/>
  <c r="J15" i="47"/>
  <c r="J34" i="47"/>
  <c r="J31" i="47"/>
  <c r="J27" i="47"/>
  <c r="N13" i="48"/>
  <c r="H12" i="48"/>
  <c r="Z41" i="48"/>
  <c r="H12" i="51"/>
  <c r="Z29" i="51"/>
  <c r="L31" i="51"/>
  <c r="J16" i="40"/>
  <c r="J20" i="40"/>
  <c r="F25" i="42"/>
  <c r="F34" i="42"/>
  <c r="F38" i="42"/>
  <c r="F42" i="42"/>
  <c r="F45" i="42"/>
  <c r="F78" i="42"/>
  <c r="F100" i="42"/>
  <c r="V34" i="44"/>
  <c r="V31" i="44"/>
  <c r="V27" i="44"/>
  <c r="V22" i="44"/>
  <c r="F29" i="44"/>
  <c r="N14" i="45"/>
  <c r="Z27" i="50"/>
  <c r="T31" i="50"/>
  <c r="J18" i="38"/>
  <c r="F24" i="38"/>
  <c r="V24" i="38"/>
  <c r="L12" i="40"/>
  <c r="F15" i="40"/>
  <c r="V15" i="40"/>
  <c r="D18" i="40"/>
  <c r="T18" i="40"/>
  <c r="R21" i="40"/>
  <c r="F25" i="40"/>
  <c r="V25" i="40"/>
  <c r="F29" i="40"/>
  <c r="V29" i="40"/>
  <c r="F33" i="40"/>
  <c r="V33" i="40"/>
  <c r="F36" i="40"/>
  <c r="V36" i="40"/>
  <c r="J16" i="41"/>
  <c r="R18" i="41"/>
  <c r="J20" i="41"/>
  <c r="F22" i="41"/>
  <c r="V22" i="41"/>
  <c r="L34" i="41"/>
  <c r="H12" i="42"/>
  <c r="L19" i="42"/>
  <c r="N19" i="42" s="1"/>
  <c r="F27" i="42"/>
  <c r="F39" i="42"/>
  <c r="F51" i="42"/>
  <c r="F54" i="42"/>
  <c r="F59" i="42"/>
  <c r="F62" i="42"/>
  <c r="F71" i="42"/>
  <c r="F79" i="42"/>
  <c r="F86" i="42"/>
  <c r="F91" i="42"/>
  <c r="F96" i="42"/>
  <c r="Z12" i="43"/>
  <c r="F16" i="43"/>
  <c r="V16" i="43"/>
  <c r="F20" i="43"/>
  <c r="V20" i="43"/>
  <c r="L21" i="43"/>
  <c r="J24" i="43"/>
  <c r="X12" i="44"/>
  <c r="J21" i="44"/>
  <c r="V24" i="44"/>
  <c r="V25" i="44"/>
  <c r="N29" i="44"/>
  <c r="L29" i="44"/>
  <c r="V33" i="44"/>
  <c r="H12" i="45"/>
  <c r="L14" i="45"/>
  <c r="L24" i="45"/>
  <c r="N24" i="45" s="1"/>
  <c r="R26" i="45"/>
  <c r="F40" i="45"/>
  <c r="R42" i="45"/>
  <c r="R44" i="45"/>
  <c r="Z47" i="45"/>
  <c r="N51" i="45"/>
  <c r="L51" i="45"/>
  <c r="F54" i="45"/>
  <c r="X57" i="45"/>
  <c r="Z57" i="45" s="1"/>
  <c r="R68" i="45"/>
  <c r="R73" i="45"/>
  <c r="R78" i="45"/>
  <c r="R84" i="45"/>
  <c r="L13" i="46"/>
  <c r="H18" i="46"/>
  <c r="X21" i="46"/>
  <c r="L22" i="46"/>
  <c r="X24" i="46"/>
  <c r="L29" i="46"/>
  <c r="N12" i="47"/>
  <c r="L25" i="47"/>
  <c r="N19" i="48"/>
  <c r="R30" i="48"/>
  <c r="Z44" i="48"/>
  <c r="L46" i="48"/>
  <c r="N59" i="48"/>
  <c r="R18" i="49"/>
  <c r="R36" i="49"/>
  <c r="R33" i="49"/>
  <c r="R29" i="49"/>
  <c r="R25" i="49"/>
  <c r="P18" i="49"/>
  <c r="R15" i="49"/>
  <c r="R22" i="49"/>
  <c r="X12" i="49"/>
  <c r="R24" i="49"/>
  <c r="R21" i="49"/>
  <c r="X24" i="49"/>
  <c r="R24" i="50"/>
  <c r="Z21" i="51"/>
  <c r="N24" i="51"/>
  <c r="Z27" i="51"/>
  <c r="Z35" i="51"/>
  <c r="J21" i="38"/>
  <c r="F27" i="38"/>
  <c r="V27" i="38"/>
  <c r="F31" i="38"/>
  <c r="V31" i="38"/>
  <c r="F34" i="38"/>
  <c r="V34" i="38"/>
  <c r="N12" i="40"/>
  <c r="F18" i="40"/>
  <c r="V18" i="40"/>
  <c r="J22" i="40"/>
  <c r="R24" i="40"/>
  <c r="L12" i="41"/>
  <c r="F15" i="41"/>
  <c r="V15" i="41"/>
  <c r="D18" i="41"/>
  <c r="T18" i="41"/>
  <c r="R21" i="41"/>
  <c r="F25" i="41"/>
  <c r="V25" i="41"/>
  <c r="F29" i="41"/>
  <c r="V29" i="41"/>
  <c r="F33" i="41"/>
  <c r="V33" i="41"/>
  <c r="F36" i="41"/>
  <c r="V36" i="41"/>
  <c r="F20" i="42"/>
  <c r="F28" i="42"/>
  <c r="F35" i="42"/>
  <c r="F40" i="42"/>
  <c r="F43" i="42"/>
  <c r="F48" i="42"/>
  <c r="F72" i="42"/>
  <c r="F76" i="42"/>
  <c r="F80" i="42"/>
  <c r="F93" i="42"/>
  <c r="J27" i="43"/>
  <c r="J31" i="43"/>
  <c r="J34" i="43"/>
  <c r="Z12" i="44"/>
  <c r="F16" i="44"/>
  <c r="V16" i="44"/>
  <c r="F20" i="44"/>
  <c r="V20" i="44"/>
  <c r="R31" i="44"/>
  <c r="F24" i="45"/>
  <c r="F28" i="45"/>
  <c r="F49" i="45"/>
  <c r="F62" i="45"/>
  <c r="Z78" i="45"/>
  <c r="L80" i="45"/>
  <c r="T27" i="46"/>
  <c r="Z18" i="46"/>
  <c r="R21" i="46"/>
  <c r="R24" i="46"/>
  <c r="L15" i="47"/>
  <c r="J20" i="47"/>
  <c r="Z30" i="48"/>
  <c r="N46" i="48"/>
  <c r="X60" i="48"/>
  <c r="Z60" i="48" s="1"/>
  <c r="P59" i="48"/>
  <c r="V22" i="49"/>
  <c r="V20" i="49"/>
  <c r="V16" i="49"/>
  <c r="Z12" i="49"/>
  <c r="V34" i="49"/>
  <c r="V31" i="49"/>
  <c r="V27" i="49"/>
  <c r="V18" i="49"/>
  <c r="V36" i="49"/>
  <c r="V33" i="49"/>
  <c r="V29" i="49"/>
  <c r="V25" i="49"/>
  <c r="T18" i="49"/>
  <c r="V15" i="49"/>
  <c r="R16" i="49"/>
  <c r="L33" i="50"/>
  <c r="N17" i="51"/>
  <c r="X19" i="51"/>
  <c r="Z20" i="51"/>
  <c r="N23" i="51"/>
  <c r="X26" i="51"/>
  <c r="Z26" i="51" s="1"/>
  <c r="N30" i="51"/>
  <c r="J15" i="40"/>
  <c r="H18" i="40"/>
  <c r="J25" i="40"/>
  <c r="R27" i="40"/>
  <c r="J29" i="40"/>
  <c r="R31" i="40"/>
  <c r="J33" i="40"/>
  <c r="R34" i="40"/>
  <c r="J36" i="40"/>
  <c r="F18" i="41"/>
  <c r="F21" i="42"/>
  <c r="D23" i="42"/>
  <c r="F29" i="42"/>
  <c r="F49" i="42"/>
  <c r="F52" i="42"/>
  <c r="F57" i="42"/>
  <c r="F60" i="42"/>
  <c r="F65" i="42"/>
  <c r="F69" i="42"/>
  <c r="F73" i="42"/>
  <c r="F81" i="42"/>
  <c r="F89" i="42"/>
  <c r="H93" i="42"/>
  <c r="J16" i="43"/>
  <c r="J20" i="43"/>
  <c r="F34" i="44"/>
  <c r="F31" i="44"/>
  <c r="F27" i="44"/>
  <c r="F22" i="44"/>
  <c r="D27" i="47"/>
  <c r="R36" i="50"/>
  <c r="R33" i="50"/>
  <c r="R29" i="50"/>
  <c r="R25" i="50"/>
  <c r="P18" i="50"/>
  <c r="R15" i="50"/>
  <c r="R22" i="50"/>
  <c r="X12" i="50"/>
  <c r="R20" i="50"/>
  <c r="R16" i="50"/>
  <c r="R21" i="50"/>
  <c r="R18" i="50"/>
  <c r="L51" i="51"/>
  <c r="P50" i="59"/>
  <c r="R16" i="40"/>
  <c r="J18" i="40"/>
  <c r="R20" i="40"/>
  <c r="V24" i="40"/>
  <c r="F21" i="41"/>
  <c r="R27" i="41"/>
  <c r="R31" i="41"/>
  <c r="R34" i="41"/>
  <c r="L14" i="42"/>
  <c r="F23" i="42"/>
  <c r="F30" i="42"/>
  <c r="F41" i="42"/>
  <c r="F46" i="42"/>
  <c r="F66" i="42"/>
  <c r="F74" i="42"/>
  <c r="F77" i="42"/>
  <c r="F82" i="42"/>
  <c r="F95" i="42"/>
  <c r="L12" i="43"/>
  <c r="J34" i="44"/>
  <c r="J31" i="44"/>
  <c r="J27" i="44"/>
  <c r="J24" i="44"/>
  <c r="J16" i="44"/>
  <c r="J20" i="44"/>
  <c r="J22" i="44"/>
  <c r="F24" i="44"/>
  <c r="F25" i="44"/>
  <c r="F33" i="44"/>
  <c r="J36" i="44"/>
  <c r="X41" i="45"/>
  <c r="Z41" i="45" s="1"/>
  <c r="L59" i="45"/>
  <c r="N59" i="45" s="1"/>
  <c r="N80" i="45"/>
  <c r="R36" i="46"/>
  <c r="R33" i="46"/>
  <c r="R29" i="46"/>
  <c r="R25" i="46"/>
  <c r="P18" i="46"/>
  <c r="R15" i="46"/>
  <c r="R22" i="46"/>
  <c r="X12" i="46"/>
  <c r="R20" i="46"/>
  <c r="R16" i="46"/>
  <c r="R18" i="46"/>
  <c r="R31" i="46"/>
  <c r="X21" i="47"/>
  <c r="L33" i="47"/>
  <c r="Z19" i="48"/>
  <c r="R54" i="48"/>
  <c r="X34" i="49"/>
  <c r="L15" i="50"/>
  <c r="L25" i="50"/>
  <c r="P12" i="51"/>
  <c r="N15" i="51"/>
  <c r="X18" i="51"/>
  <c r="Z18" i="51" s="1"/>
  <c r="N51" i="51"/>
  <c r="X62" i="51"/>
  <c r="Z62" i="51" s="1"/>
  <c r="J16" i="38"/>
  <c r="F27" i="40"/>
  <c r="V27" i="40"/>
  <c r="F31" i="40"/>
  <c r="V31" i="40"/>
  <c r="R16" i="41"/>
  <c r="F26" i="42"/>
  <c r="F31" i="42"/>
  <c r="F50" i="42"/>
  <c r="F55" i="42"/>
  <c r="F58" i="42"/>
  <c r="F63" i="42"/>
  <c r="F67" i="42"/>
  <c r="F70" i="42"/>
  <c r="F83" i="42"/>
  <c r="F87" i="42"/>
  <c r="F90" i="42"/>
  <c r="N12" i="43"/>
  <c r="L12" i="44"/>
  <c r="F15" i="44"/>
  <c r="V15" i="44"/>
  <c r="D18" i="44"/>
  <c r="T18" i="44"/>
  <c r="X18" i="44" s="1"/>
  <c r="R21" i="44"/>
  <c r="N25" i="44"/>
  <c r="L25" i="44"/>
  <c r="V29" i="44"/>
  <c r="N33" i="44"/>
  <c r="L33" i="44"/>
  <c r="V36" i="44"/>
  <c r="R70" i="45"/>
  <c r="R66" i="45"/>
  <c r="R62" i="45"/>
  <c r="R59" i="45"/>
  <c r="R54" i="45"/>
  <c r="R51" i="45"/>
  <c r="R46" i="45"/>
  <c r="R43" i="45"/>
  <c r="R30" i="45"/>
  <c r="R21" i="45"/>
  <c r="R82" i="45"/>
  <c r="R77" i="45"/>
  <c r="R34" i="45"/>
  <c r="R29" i="45"/>
  <c r="P21" i="45"/>
  <c r="R76" i="45"/>
  <c r="R69" i="45"/>
  <c r="R65" i="45"/>
  <c r="R61" i="45"/>
  <c r="R56" i="45"/>
  <c r="R53" i="45"/>
  <c r="R48" i="45"/>
  <c r="R45" i="45"/>
  <c r="R40" i="45"/>
  <c r="R28" i="45"/>
  <c r="X12" i="45"/>
  <c r="Z12" i="45" s="1"/>
  <c r="R86" i="45"/>
  <c r="R79" i="45"/>
  <c r="R75" i="45"/>
  <c r="R39" i="45"/>
  <c r="R27" i="45"/>
  <c r="R19" i="45"/>
  <c r="R83" i="45"/>
  <c r="R80" i="45"/>
  <c r="R71" i="45"/>
  <c r="R67" i="45"/>
  <c r="R63" i="45"/>
  <c r="R35" i="45"/>
  <c r="R31" i="45"/>
  <c r="R24" i="45"/>
  <c r="L15" i="45"/>
  <c r="N15" i="45" s="1"/>
  <c r="Z24" i="45"/>
  <c r="N34" i="45"/>
  <c r="V41" i="45"/>
  <c r="R49" i="45"/>
  <c r="F57" i="45"/>
  <c r="R60" i="45"/>
  <c r="L25" i="46"/>
  <c r="L33" i="46"/>
  <c r="L15" i="48"/>
  <c r="X41" i="48"/>
  <c r="Z54" i="48"/>
  <c r="R31" i="49"/>
  <c r="R34" i="49"/>
  <c r="T12" i="51"/>
  <c r="L22" i="51"/>
  <c r="N22" i="51" s="1"/>
  <c r="Z70" i="51"/>
  <c r="Z14" i="45"/>
  <c r="T21" i="45"/>
  <c r="V30" i="45"/>
  <c r="V34" i="45"/>
  <c r="V46" i="45"/>
  <c r="V54" i="45"/>
  <c r="V62" i="45"/>
  <c r="V66" i="45"/>
  <c r="V70" i="45"/>
  <c r="V82" i="45"/>
  <c r="J16" i="46"/>
  <c r="J20" i="46"/>
  <c r="F22" i="46"/>
  <c r="V22" i="46"/>
  <c r="R15" i="47"/>
  <c r="P18" i="47"/>
  <c r="R25" i="47"/>
  <c r="R29" i="47"/>
  <c r="R33" i="47"/>
  <c r="R36" i="47"/>
  <c r="R22" i="48"/>
  <c r="V29" i="48"/>
  <c r="V33" i="48"/>
  <c r="R34" i="48"/>
  <c r="V37" i="48"/>
  <c r="R38" i="48"/>
  <c r="V49" i="48"/>
  <c r="R50" i="48"/>
  <c r="V53" i="48"/>
  <c r="V59" i="48"/>
  <c r="R64" i="48"/>
  <c r="J16" i="50"/>
  <c r="J20" i="50"/>
  <c r="X74" i="51"/>
  <c r="Z74" i="51" s="1"/>
  <c r="Z77" i="51"/>
  <c r="N93" i="51"/>
  <c r="H90" i="51"/>
  <c r="Z24" i="52"/>
  <c r="X24" i="52"/>
  <c r="L79" i="51"/>
  <c r="N79" i="51" s="1"/>
  <c r="V18" i="45"/>
  <c r="V26" i="45"/>
  <c r="V38" i="45"/>
  <c r="V42" i="45"/>
  <c r="V50" i="45"/>
  <c r="V58" i="45"/>
  <c r="V74" i="45"/>
  <c r="V78" i="45"/>
  <c r="J18" i="46"/>
  <c r="F24" i="46"/>
  <c r="V24" i="46"/>
  <c r="F21" i="47"/>
  <c r="V21" i="47"/>
  <c r="R27" i="47"/>
  <c r="R31" i="47"/>
  <c r="R34" i="47"/>
  <c r="R17" i="48"/>
  <c r="V25" i="48"/>
  <c r="R26" i="48"/>
  <c r="R39" i="48"/>
  <c r="V41" i="48"/>
  <c r="R42" i="48"/>
  <c r="V45" i="48"/>
  <c r="R51" i="48"/>
  <c r="V57" i="48"/>
  <c r="J18" i="50"/>
  <c r="Z18" i="50"/>
  <c r="V24" i="50"/>
  <c r="Z90" i="51"/>
  <c r="X29" i="54"/>
  <c r="Z29" i="54" s="1"/>
  <c r="L21" i="55"/>
  <c r="N21" i="55" s="1"/>
  <c r="J43" i="56"/>
  <c r="J35" i="56"/>
  <c r="J23" i="56"/>
  <c r="H16" i="56"/>
  <c r="J67" i="56"/>
  <c r="J60" i="56"/>
  <c r="J52" i="56"/>
  <c r="J46" i="56"/>
  <c r="J40" i="56"/>
  <c r="J32" i="56"/>
  <c r="J28" i="56"/>
  <c r="J22" i="56"/>
  <c r="J55" i="56"/>
  <c r="J49" i="56"/>
  <c r="J45" i="56"/>
  <c r="J37" i="56"/>
  <c r="J21" i="56"/>
  <c r="J48" i="56"/>
  <c r="J42" i="56"/>
  <c r="J34" i="56"/>
  <c r="J20" i="56"/>
  <c r="J18" i="56"/>
  <c r="J14" i="56"/>
  <c r="N12" i="56"/>
  <c r="J51" i="56"/>
  <c r="J39" i="56"/>
  <c r="J31" i="56"/>
  <c r="J27" i="56"/>
  <c r="J53" i="56"/>
  <c r="J33" i="56"/>
  <c r="J16" i="56"/>
  <c r="J54" i="56"/>
  <c r="J44" i="56"/>
  <c r="J29" i="56"/>
  <c r="J19" i="56"/>
  <c r="J36" i="56"/>
  <c r="J25" i="56"/>
  <c r="J24" i="56"/>
  <c r="J38" i="56"/>
  <c r="J64" i="56"/>
  <c r="J41" i="56"/>
  <c r="J26" i="56"/>
  <c r="J58" i="56"/>
  <c r="J56" i="56"/>
  <c r="J50" i="56"/>
  <c r="D45" i="60"/>
  <c r="V19" i="45"/>
  <c r="V23" i="45"/>
  <c r="V27" i="45"/>
  <c r="V39" i="45"/>
  <c r="V47" i="45"/>
  <c r="V55" i="45"/>
  <c r="V75" i="45"/>
  <c r="V79" i="45"/>
  <c r="J21" i="46"/>
  <c r="F27" i="46"/>
  <c r="V27" i="46"/>
  <c r="F31" i="46"/>
  <c r="V31" i="46"/>
  <c r="F34" i="46"/>
  <c r="V34" i="46"/>
  <c r="R16" i="47"/>
  <c r="R20" i="47"/>
  <c r="F24" i="47"/>
  <c r="V24" i="47"/>
  <c r="T17" i="48"/>
  <c r="R20" i="48"/>
  <c r="V26" i="48"/>
  <c r="R27" i="48"/>
  <c r="V30" i="48"/>
  <c r="R31" i="48"/>
  <c r="V42" i="48"/>
  <c r="R43" i="48"/>
  <c r="R48" i="48"/>
  <c r="V54" i="48"/>
  <c r="R55" i="48"/>
  <c r="V60" i="48"/>
  <c r="J21" i="50"/>
  <c r="F27" i="50"/>
  <c r="V27" i="50"/>
  <c r="F31" i="50"/>
  <c r="V31" i="50"/>
  <c r="F34" i="50"/>
  <c r="V34" i="50"/>
  <c r="V28" i="45"/>
  <c r="V40" i="45"/>
  <c r="V48" i="45"/>
  <c r="V56" i="45"/>
  <c r="V76" i="45"/>
  <c r="V86" i="45"/>
  <c r="Z12" i="46"/>
  <c r="F16" i="46"/>
  <c r="V16" i="46"/>
  <c r="J24" i="46"/>
  <c r="X12" i="47"/>
  <c r="F27" i="47"/>
  <c r="V27" i="47"/>
  <c r="F31" i="47"/>
  <c r="V31" i="47"/>
  <c r="F34" i="47"/>
  <c r="V34" i="47"/>
  <c r="X12" i="48"/>
  <c r="Z12" i="48" s="1"/>
  <c r="V17" i="48"/>
  <c r="V27" i="48"/>
  <c r="R28" i="48"/>
  <c r="V31" i="48"/>
  <c r="R32" i="48"/>
  <c r="R37" i="48"/>
  <c r="V39" i="48"/>
  <c r="R40" i="48"/>
  <c r="V43" i="48"/>
  <c r="V51" i="48"/>
  <c r="R52" i="48"/>
  <c r="V55" i="48"/>
  <c r="J27" i="49"/>
  <c r="J31" i="49"/>
  <c r="J34" i="49"/>
  <c r="Z12" i="50"/>
  <c r="F16" i="50"/>
  <c r="V16" i="50"/>
  <c r="J24" i="50"/>
  <c r="X77" i="51"/>
  <c r="L93" i="51"/>
  <c r="L16" i="52"/>
  <c r="L20" i="52"/>
  <c r="J30" i="56"/>
  <c r="Z39" i="62"/>
  <c r="X39" i="62"/>
  <c r="V29" i="45"/>
  <c r="V45" i="45"/>
  <c r="V53" i="45"/>
  <c r="V61" i="45"/>
  <c r="V65" i="45"/>
  <c r="V69" i="45"/>
  <c r="J27" i="46"/>
  <c r="J31" i="46"/>
  <c r="Z12" i="47"/>
  <c r="F16" i="47"/>
  <c r="V16" i="47"/>
  <c r="V20" i="48"/>
  <c r="R21" i="48"/>
  <c r="V28" i="48"/>
  <c r="R29" i="48"/>
  <c r="V32" i="48"/>
  <c r="R33" i="48"/>
  <c r="V40" i="48"/>
  <c r="R46" i="48"/>
  <c r="V48" i="48"/>
  <c r="R49" i="48"/>
  <c r="R53" i="48"/>
  <c r="T59" i="48"/>
  <c r="J16" i="49"/>
  <c r="J27" i="50"/>
  <c r="J31" i="50"/>
  <c r="L44" i="59"/>
  <c r="N44" i="59" s="1"/>
  <c r="X12" i="52"/>
  <c r="J21" i="52"/>
  <c r="R22" i="52"/>
  <c r="V27" i="52"/>
  <c r="J31" i="52"/>
  <c r="R24" i="53"/>
  <c r="R18" i="53"/>
  <c r="R36" i="53"/>
  <c r="R33" i="53"/>
  <c r="R29" i="53"/>
  <c r="R25" i="53"/>
  <c r="P18" i="53"/>
  <c r="R15" i="53"/>
  <c r="R22" i="53"/>
  <c r="V20" i="53"/>
  <c r="R21" i="53"/>
  <c r="V25" i="53"/>
  <c r="V29" i="53"/>
  <c r="Z34" i="53"/>
  <c r="X34" i="53"/>
  <c r="V31" i="54"/>
  <c r="V28" i="54"/>
  <c r="V24" i="54"/>
  <c r="Z12" i="54"/>
  <c r="V16" i="54"/>
  <c r="X25" i="55"/>
  <c r="Z25" i="55" s="1"/>
  <c r="Z18" i="56"/>
  <c r="X18" i="56"/>
  <c r="F26" i="56"/>
  <c r="X34" i="56"/>
  <c r="Z34" i="56" s="1"/>
  <c r="P64" i="56"/>
  <c r="J16" i="57"/>
  <c r="X18" i="57"/>
  <c r="Z18" i="57" s="1"/>
  <c r="J26" i="57"/>
  <c r="J30" i="57"/>
  <c r="J36" i="57"/>
  <c r="Z47" i="57"/>
  <c r="F49" i="57"/>
  <c r="X50" i="57"/>
  <c r="Z50" i="57" s="1"/>
  <c r="R32" i="58"/>
  <c r="L62" i="58"/>
  <c r="L12" i="59"/>
  <c r="X14" i="59"/>
  <c r="Z29" i="59"/>
  <c r="N18" i="60"/>
  <c r="Z28" i="60"/>
  <c r="X34" i="60"/>
  <c r="Z34" i="60" s="1"/>
  <c r="L40" i="60"/>
  <c r="N40" i="60" s="1"/>
  <c r="L31" i="61"/>
  <c r="N31" i="61" s="1"/>
  <c r="J94" i="62"/>
  <c r="J90" i="62"/>
  <c r="J84" i="62"/>
  <c r="J78" i="62"/>
  <c r="J89" i="62"/>
  <c r="J75" i="62"/>
  <c r="J71" i="62"/>
  <c r="J92" i="62"/>
  <c r="J86" i="62"/>
  <c r="J66" i="62"/>
  <c r="J101" i="62"/>
  <c r="J95" i="62"/>
  <c r="J88" i="62"/>
  <c r="J82" i="62"/>
  <c r="J74" i="62"/>
  <c r="J70" i="62"/>
  <c r="J80" i="62"/>
  <c r="J76" i="62"/>
  <c r="J72" i="62"/>
  <c r="J91" i="62"/>
  <c r="J57" i="62"/>
  <c r="J49" i="62"/>
  <c r="J43" i="62"/>
  <c r="J37" i="62"/>
  <c r="J31" i="62"/>
  <c r="J25" i="62"/>
  <c r="J17" i="62"/>
  <c r="J69" i="62"/>
  <c r="J62" i="62"/>
  <c r="J54" i="62"/>
  <c r="J40" i="62"/>
  <c r="J36" i="62"/>
  <c r="J24" i="62"/>
  <c r="H17" i="62"/>
  <c r="J59" i="62"/>
  <c r="J51" i="62"/>
  <c r="J45" i="62"/>
  <c r="J35" i="62"/>
  <c r="J23" i="62"/>
  <c r="J15" i="62"/>
  <c r="J87" i="62"/>
  <c r="J56" i="62"/>
  <c r="J48" i="62"/>
  <c r="J42" i="62"/>
  <c r="J34" i="62"/>
  <c r="J30" i="62"/>
  <c r="J22" i="62"/>
  <c r="J104" i="62"/>
  <c r="J99" i="62"/>
  <c r="J83" i="62"/>
  <c r="J79" i="62"/>
  <c r="J61" i="62"/>
  <c r="J53" i="62"/>
  <c r="J39" i="62"/>
  <c r="J33" i="62"/>
  <c r="J29" i="62"/>
  <c r="J21" i="62"/>
  <c r="J19" i="62"/>
  <c r="J73" i="62"/>
  <c r="J67" i="62"/>
  <c r="J55" i="62"/>
  <c r="J47" i="62"/>
  <c r="J41" i="62"/>
  <c r="J27" i="62"/>
  <c r="L12" i="62"/>
  <c r="P97" i="62"/>
  <c r="J38" i="62"/>
  <c r="N45" i="62"/>
  <c r="J65" i="62"/>
  <c r="J68" i="62"/>
  <c r="R39" i="65"/>
  <c r="R32" i="65"/>
  <c r="R24" i="65"/>
  <c r="R27" i="65"/>
  <c r="R18" i="65"/>
  <c r="R14" i="65"/>
  <c r="R20" i="65"/>
  <c r="X12" i="65"/>
  <c r="R36" i="65"/>
  <c r="R30" i="65"/>
  <c r="R23" i="65"/>
  <c r="R25" i="65"/>
  <c r="R16" i="65"/>
  <c r="R19" i="65"/>
  <c r="R21" i="65"/>
  <c r="P16" i="65"/>
  <c r="R26" i="65"/>
  <c r="R22" i="65"/>
  <c r="R28" i="65"/>
  <c r="R34" i="65"/>
  <c r="D36" i="65"/>
  <c r="P12" i="66"/>
  <c r="V18" i="53"/>
  <c r="V22" i="53"/>
  <c r="V34" i="53"/>
  <c r="V14" i="54"/>
  <c r="V18" i="54"/>
  <c r="Z20" i="54"/>
  <c r="X20" i="54"/>
  <c r="L19" i="55"/>
  <c r="N19" i="55" s="1"/>
  <c r="F62" i="56"/>
  <c r="F56" i="56"/>
  <c r="F47" i="56"/>
  <c r="F24" i="56"/>
  <c r="F19" i="56"/>
  <c r="F50" i="56"/>
  <c r="F43" i="56"/>
  <c r="F38" i="56"/>
  <c r="F35" i="56"/>
  <c r="F23" i="56"/>
  <c r="F16" i="56"/>
  <c r="F46" i="56"/>
  <c r="F22" i="56"/>
  <c r="D16" i="56"/>
  <c r="F67" i="56"/>
  <c r="F60" i="56"/>
  <c r="F52" i="56"/>
  <c r="F49" i="56"/>
  <c r="F45" i="56"/>
  <c r="F40" i="56"/>
  <c r="F37" i="56"/>
  <c r="F32" i="56"/>
  <c r="F28" i="56"/>
  <c r="F21" i="56"/>
  <c r="F55" i="56"/>
  <c r="F48" i="56"/>
  <c r="F20" i="56"/>
  <c r="L12" i="56"/>
  <c r="F30" i="56"/>
  <c r="N47" i="56"/>
  <c r="F14" i="57"/>
  <c r="F34" i="57"/>
  <c r="J49" i="57"/>
  <c r="R20" i="58"/>
  <c r="L34" i="58"/>
  <c r="N44" i="58"/>
  <c r="F34" i="59"/>
  <c r="N39" i="61"/>
  <c r="N12" i="62"/>
  <c r="J26" i="62"/>
  <c r="J44" i="62"/>
  <c r="X45" i="62"/>
  <c r="J50" i="62"/>
  <c r="J52" i="62"/>
  <c r="J60" i="62"/>
  <c r="J16" i="52"/>
  <c r="R18" i="52"/>
  <c r="J20" i="52"/>
  <c r="Z12" i="53"/>
  <c r="V15" i="53"/>
  <c r="D22" i="54"/>
  <c r="H30" i="55"/>
  <c r="N16" i="55"/>
  <c r="N28" i="55"/>
  <c r="L28" i="55"/>
  <c r="L36" i="56"/>
  <c r="N36" i="56" s="1"/>
  <c r="F66" i="57"/>
  <c r="F59" i="57"/>
  <c r="F48" i="57"/>
  <c r="F39" i="57"/>
  <c r="F24" i="57"/>
  <c r="F19" i="57"/>
  <c r="F54" i="57"/>
  <c r="F51" i="57"/>
  <c r="F35" i="57"/>
  <c r="F23" i="57"/>
  <c r="F16" i="57"/>
  <c r="F45" i="57"/>
  <c r="F41" i="57"/>
  <c r="F38" i="57"/>
  <c r="F22" i="57"/>
  <c r="D16" i="57"/>
  <c r="F53" i="57"/>
  <c r="F37" i="57"/>
  <c r="F32" i="57"/>
  <c r="F28" i="57"/>
  <c r="F21" i="57"/>
  <c r="F63" i="57"/>
  <c r="F57" i="57"/>
  <c r="F47" i="57"/>
  <c r="F44" i="57"/>
  <c r="F40" i="57"/>
  <c r="F20" i="57"/>
  <c r="L12" i="57"/>
  <c r="J25" i="57"/>
  <c r="F33" i="57"/>
  <c r="F42" i="57"/>
  <c r="Z45" i="57"/>
  <c r="F52" i="57"/>
  <c r="F55" i="57"/>
  <c r="R49" i="58"/>
  <c r="R45" i="58"/>
  <c r="R42" i="58"/>
  <c r="R37" i="58"/>
  <c r="R34" i="58"/>
  <c r="R25" i="58"/>
  <c r="R16" i="58"/>
  <c r="R56" i="58"/>
  <c r="R48" i="58"/>
  <c r="R29" i="58"/>
  <c r="R24" i="58"/>
  <c r="P16" i="58"/>
  <c r="R68" i="58"/>
  <c r="R62" i="58"/>
  <c r="R55" i="58"/>
  <c r="R51" i="58"/>
  <c r="R44" i="58"/>
  <c r="R39" i="58"/>
  <c r="R36" i="58"/>
  <c r="R23" i="58"/>
  <c r="R58" i="58"/>
  <c r="R54" i="58"/>
  <c r="R47" i="58"/>
  <c r="R22" i="58"/>
  <c r="R53" i="58"/>
  <c r="R50" i="58"/>
  <c r="R41" i="58"/>
  <c r="R38" i="58"/>
  <c r="R33" i="58"/>
  <c r="R21" i="58"/>
  <c r="R18" i="58"/>
  <c r="R14" i="58"/>
  <c r="R71" i="58"/>
  <c r="R64" i="58"/>
  <c r="R52" i="58"/>
  <c r="R43" i="58"/>
  <c r="R40" i="58"/>
  <c r="R35" i="58"/>
  <c r="R31" i="58"/>
  <c r="R27" i="58"/>
  <c r="R19" i="58"/>
  <c r="R60" i="58"/>
  <c r="F20" i="59"/>
  <c r="F37" i="59"/>
  <c r="H16" i="60"/>
  <c r="N14" i="60"/>
  <c r="Z45" i="62"/>
  <c r="J63" i="62"/>
  <c r="J64" i="62"/>
  <c r="J85" i="62"/>
  <c r="Z63" i="64"/>
  <c r="V15" i="52"/>
  <c r="T18" i="52"/>
  <c r="J22" i="52"/>
  <c r="J27" i="52"/>
  <c r="V31" i="52"/>
  <c r="J34" i="52"/>
  <c r="R16" i="53"/>
  <c r="N18" i="53"/>
  <c r="N27" i="53"/>
  <c r="N31" i="53"/>
  <c r="Z14" i="56"/>
  <c r="X14" i="56"/>
  <c r="N19" i="56"/>
  <c r="L44" i="56"/>
  <c r="N44" i="56" s="1"/>
  <c r="F54" i="56"/>
  <c r="X55" i="56"/>
  <c r="Z55" i="56" s="1"/>
  <c r="J51" i="57"/>
  <c r="J45" i="57"/>
  <c r="J41" i="57"/>
  <c r="J35" i="57"/>
  <c r="J23" i="57"/>
  <c r="H16" i="57"/>
  <c r="J38" i="57"/>
  <c r="J32" i="57"/>
  <c r="J28" i="57"/>
  <c r="J22" i="57"/>
  <c r="J63" i="57"/>
  <c r="J57" i="57"/>
  <c r="J53" i="57"/>
  <c r="J47" i="57"/>
  <c r="J37" i="57"/>
  <c r="J21" i="57"/>
  <c r="J50" i="57"/>
  <c r="J44" i="57"/>
  <c r="J40" i="57"/>
  <c r="J34" i="57"/>
  <c r="J20" i="57"/>
  <c r="J18" i="57"/>
  <c r="J14" i="57"/>
  <c r="N12" i="57"/>
  <c r="J61" i="57"/>
  <c r="J55" i="57"/>
  <c r="J43" i="57"/>
  <c r="J31" i="57"/>
  <c r="J27" i="57"/>
  <c r="J66" i="57"/>
  <c r="J24" i="57"/>
  <c r="J33" i="57"/>
  <c r="J42" i="57"/>
  <c r="L52" i="57"/>
  <c r="N52" i="57" s="1"/>
  <c r="J54" i="57"/>
  <c r="L16" i="58"/>
  <c r="Z19" i="58"/>
  <c r="R30" i="58"/>
  <c r="Z40" i="58"/>
  <c r="Z52" i="58"/>
  <c r="N18" i="59"/>
  <c r="F26" i="59"/>
  <c r="N42" i="59"/>
  <c r="Z19" i="60"/>
  <c r="Z40" i="60"/>
  <c r="P48" i="61"/>
  <c r="X44" i="61"/>
  <c r="Z31" i="61"/>
  <c r="X37" i="61"/>
  <c r="D51" i="61"/>
  <c r="N19" i="62"/>
  <c r="J20" i="62"/>
  <c r="N56" i="62"/>
  <c r="J77" i="62"/>
  <c r="N12" i="52"/>
  <c r="V18" i="52"/>
  <c r="R25" i="52"/>
  <c r="J29" i="52"/>
  <c r="T18" i="53"/>
  <c r="V24" i="53"/>
  <c r="R27" i="53"/>
  <c r="R31" i="53"/>
  <c r="L12" i="54"/>
  <c r="J29" i="54"/>
  <c r="J26" i="54"/>
  <c r="J20" i="54"/>
  <c r="J16" i="54"/>
  <c r="H16" i="54"/>
  <c r="J31" i="54"/>
  <c r="F33" i="56"/>
  <c r="F27" i="57"/>
  <c r="X34" i="57"/>
  <c r="Z34" i="57" s="1"/>
  <c r="F46" i="57"/>
  <c r="N47" i="57"/>
  <c r="J52" i="57"/>
  <c r="X12" i="58"/>
  <c r="Z18" i="58"/>
  <c r="N42" i="58"/>
  <c r="R59" i="58"/>
  <c r="D64" i="58"/>
  <c r="L14" i="60"/>
  <c r="P16" i="60"/>
  <c r="N28" i="60"/>
  <c r="L30" i="60"/>
  <c r="Z32" i="60"/>
  <c r="J35" i="61"/>
  <c r="J29" i="61"/>
  <c r="J25" i="61"/>
  <c r="J19" i="61"/>
  <c r="J46" i="61"/>
  <c r="J40" i="61"/>
  <c r="J32" i="61"/>
  <c r="J28" i="61"/>
  <c r="J24" i="61"/>
  <c r="J16" i="61"/>
  <c r="J37" i="61"/>
  <c r="J23" i="61"/>
  <c r="H16" i="61"/>
  <c r="L16" i="61" s="1"/>
  <c r="J51" i="61"/>
  <c r="J44" i="61"/>
  <c r="J34" i="61"/>
  <c r="J22" i="61"/>
  <c r="J39" i="61"/>
  <c r="J31" i="61"/>
  <c r="J27" i="61"/>
  <c r="J21" i="61"/>
  <c r="J33" i="61"/>
  <c r="L12" i="61"/>
  <c r="Z19" i="61"/>
  <c r="X27" i="61"/>
  <c r="Z27" i="61" s="1"/>
  <c r="X39" i="61"/>
  <c r="Z39" i="61" s="1"/>
  <c r="J28" i="62"/>
  <c r="J32" i="62"/>
  <c r="R34" i="52"/>
  <c r="R21" i="52"/>
  <c r="J15" i="52"/>
  <c r="H18" i="52"/>
  <c r="J24" i="52"/>
  <c r="R27" i="52"/>
  <c r="R36" i="52"/>
  <c r="V16" i="53"/>
  <c r="V36" i="53"/>
  <c r="Z19" i="55"/>
  <c r="F58" i="56"/>
  <c r="Z14" i="57"/>
  <c r="X14" i="57"/>
  <c r="N19" i="57"/>
  <c r="F31" i="57"/>
  <c r="F36" i="57"/>
  <c r="N39" i="57"/>
  <c r="J46" i="57"/>
  <c r="F50" i="57"/>
  <c r="J59" i="57"/>
  <c r="N16" i="58"/>
  <c r="H64" i="58"/>
  <c r="R28" i="58"/>
  <c r="R46" i="58"/>
  <c r="Z59" i="58"/>
  <c r="F44" i="59"/>
  <c r="F41" i="59"/>
  <c r="F25" i="59"/>
  <c r="F40" i="59"/>
  <c r="F36" i="59"/>
  <c r="F24" i="59"/>
  <c r="F19" i="59"/>
  <c r="F54" i="59"/>
  <c r="F48" i="59"/>
  <c r="F43" i="59"/>
  <c r="F39" i="59"/>
  <c r="F23" i="59"/>
  <c r="F16" i="59"/>
  <c r="F52" i="59"/>
  <c r="F46" i="59"/>
  <c r="F38" i="59"/>
  <c r="F33" i="59"/>
  <c r="F29" i="59"/>
  <c r="F22" i="59"/>
  <c r="D16" i="59"/>
  <c r="F45" i="59"/>
  <c r="F21" i="59"/>
  <c r="F57" i="59"/>
  <c r="F50" i="59"/>
  <c r="F42" i="59"/>
  <c r="F31" i="59"/>
  <c r="F27" i="59"/>
  <c r="F18" i="59"/>
  <c r="F14" i="59"/>
  <c r="Z18" i="59"/>
  <c r="F28" i="59"/>
  <c r="F35" i="59"/>
  <c r="Z42" i="59"/>
  <c r="Z16" i="60"/>
  <c r="T45" i="60"/>
  <c r="Z19" i="62"/>
  <c r="J46" i="62"/>
  <c r="V36" i="52"/>
  <c r="V33" i="52"/>
  <c r="V29" i="52"/>
  <c r="V25" i="52"/>
  <c r="V22" i="52"/>
  <c r="R16" i="52"/>
  <c r="J18" i="52"/>
  <c r="R20" i="52"/>
  <c r="X22" i="52"/>
  <c r="V34" i="52"/>
  <c r="N13" i="53"/>
  <c r="L24" i="53"/>
  <c r="V27" i="53"/>
  <c r="V31" i="53"/>
  <c r="R34" i="53"/>
  <c r="P16" i="54"/>
  <c r="R24" i="54"/>
  <c r="R31" i="54"/>
  <c r="R28" i="54"/>
  <c r="R22" i="54"/>
  <c r="R18" i="54"/>
  <c r="R14" i="54"/>
  <c r="X12" i="54"/>
  <c r="T16" i="54"/>
  <c r="V22" i="54"/>
  <c r="J28" i="54"/>
  <c r="V21" i="55"/>
  <c r="T16" i="55"/>
  <c r="V24" i="55"/>
  <c r="V23" i="55"/>
  <c r="V37" i="55"/>
  <c r="V32" i="55"/>
  <c r="V30" i="55"/>
  <c r="V26" i="55"/>
  <c r="V18" i="55"/>
  <c r="V14" i="55"/>
  <c r="V25" i="55"/>
  <c r="V19" i="55"/>
  <c r="F14" i="56"/>
  <c r="F31" i="56"/>
  <c r="F51" i="56"/>
  <c r="N58" i="56"/>
  <c r="L58" i="56"/>
  <c r="F64" i="56"/>
  <c r="J19" i="57"/>
  <c r="F26" i="57"/>
  <c r="F30" i="57"/>
  <c r="L36" i="57"/>
  <c r="N36" i="57" s="1"/>
  <c r="J39" i="57"/>
  <c r="Z42" i="58"/>
  <c r="T64" i="58"/>
  <c r="Z33" i="59"/>
  <c r="N35" i="59"/>
  <c r="R40" i="60"/>
  <c r="R31" i="60"/>
  <c r="R28" i="60"/>
  <c r="R23" i="60"/>
  <c r="R22" i="60"/>
  <c r="R33" i="60"/>
  <c r="R30" i="60"/>
  <c r="R21" i="60"/>
  <c r="R18" i="60"/>
  <c r="R14" i="60"/>
  <c r="R49" i="60"/>
  <c r="R43" i="60"/>
  <c r="R36" i="60"/>
  <c r="R20" i="60"/>
  <c r="X12" i="60"/>
  <c r="R39" i="60"/>
  <c r="R35" i="60"/>
  <c r="R32" i="60"/>
  <c r="R27" i="60"/>
  <c r="R47" i="60"/>
  <c r="R41" i="60"/>
  <c r="R34" i="60"/>
  <c r="R29" i="60"/>
  <c r="R25" i="60"/>
  <c r="R16" i="60"/>
  <c r="R24" i="60"/>
  <c r="R38" i="60"/>
  <c r="L27" i="61"/>
  <c r="N27" i="61" s="1"/>
  <c r="N33" i="61"/>
  <c r="L39" i="61"/>
  <c r="J48" i="61"/>
  <c r="J14" i="62"/>
  <c r="L41" i="62"/>
  <c r="N41" i="62" s="1"/>
  <c r="Z56" i="62"/>
  <c r="J81" i="62"/>
  <c r="J97" i="62"/>
  <c r="L18" i="65"/>
  <c r="N18" i="65" s="1"/>
  <c r="J79" i="64"/>
  <c r="J75" i="64"/>
  <c r="J71" i="64"/>
  <c r="J67" i="64"/>
  <c r="J61" i="64"/>
  <c r="J55" i="64"/>
  <c r="J31" i="64"/>
  <c r="J70" i="64"/>
  <c r="J58" i="64"/>
  <c r="J52" i="64"/>
  <c r="H39" i="64"/>
  <c r="J39" i="64" s="1"/>
  <c r="J30" i="64"/>
  <c r="J83" i="64"/>
  <c r="J77" i="64"/>
  <c r="J63" i="64"/>
  <c r="J49" i="64"/>
  <c r="J45" i="64"/>
  <c r="J37" i="64"/>
  <c r="J29" i="64"/>
  <c r="J74" i="64"/>
  <c r="J66" i="64"/>
  <c r="J60" i="64"/>
  <c r="J54" i="64"/>
  <c r="J48" i="64"/>
  <c r="J44" i="64"/>
  <c r="J36" i="64"/>
  <c r="J28" i="64"/>
  <c r="J69" i="64"/>
  <c r="J57" i="64"/>
  <c r="J51" i="64"/>
  <c r="J47" i="64"/>
  <c r="J43" i="64"/>
  <c r="J41" i="64"/>
  <c r="J35" i="64"/>
  <c r="J73" i="64"/>
  <c r="J65" i="64"/>
  <c r="J59" i="64"/>
  <c r="J53" i="64"/>
  <c r="J33" i="64"/>
  <c r="J27" i="64"/>
  <c r="J76" i="64"/>
  <c r="H12" i="66"/>
  <c r="T12" i="67"/>
  <c r="Z14" i="67"/>
  <c r="X14" i="67"/>
  <c r="V16" i="58"/>
  <c r="V26" i="58"/>
  <c r="V30" i="58"/>
  <c r="V34" i="58"/>
  <c r="V42" i="58"/>
  <c r="V46" i="58"/>
  <c r="J26" i="59"/>
  <c r="J30" i="59"/>
  <c r="J34" i="59"/>
  <c r="J44" i="59"/>
  <c r="Z86" i="62"/>
  <c r="Z17" i="64"/>
  <c r="N20" i="64"/>
  <c r="L20" i="64"/>
  <c r="X41" i="64"/>
  <c r="Z41" i="64" s="1"/>
  <c r="J62" i="64"/>
  <c r="X63" i="64"/>
  <c r="X69" i="64"/>
  <c r="Z69" i="64" s="1"/>
  <c r="Z24" i="65"/>
  <c r="Z18" i="66"/>
  <c r="Z19" i="66"/>
  <c r="L21" i="66"/>
  <c r="N33" i="66"/>
  <c r="J37" i="67"/>
  <c r="J31" i="67"/>
  <c r="J52" i="67"/>
  <c r="J46" i="67"/>
  <c r="J42" i="67"/>
  <c r="J34" i="67"/>
  <c r="J30" i="67"/>
  <c r="J24" i="67"/>
  <c r="J39" i="67"/>
  <c r="J29" i="67"/>
  <c r="J21" i="67"/>
  <c r="J50" i="67"/>
  <c r="J44" i="67"/>
  <c r="J36" i="67"/>
  <c r="J28" i="67"/>
  <c r="H21" i="67"/>
  <c r="N12" i="67"/>
  <c r="J41" i="67"/>
  <c r="J33" i="67"/>
  <c r="J27" i="67"/>
  <c r="J19" i="67"/>
  <c r="J55" i="67"/>
  <c r="J48" i="67"/>
  <c r="J38" i="67"/>
  <c r="J26" i="67"/>
  <c r="J32" i="67"/>
  <c r="J23" i="67"/>
  <c r="J25" i="67"/>
  <c r="J40" i="67"/>
  <c r="J35" i="67"/>
  <c r="F22" i="55"/>
  <c r="R23" i="55"/>
  <c r="F25" i="55"/>
  <c r="R26" i="55"/>
  <c r="R32" i="55"/>
  <c r="V23" i="56"/>
  <c r="V35" i="56"/>
  <c r="V43" i="56"/>
  <c r="V55" i="56"/>
  <c r="R56" i="56"/>
  <c r="R62" i="56"/>
  <c r="V23" i="57"/>
  <c r="R24" i="57"/>
  <c r="V35" i="57"/>
  <c r="R41" i="57"/>
  <c r="R45" i="57"/>
  <c r="V47" i="57"/>
  <c r="R48" i="57"/>
  <c r="V51" i="57"/>
  <c r="V57" i="57"/>
  <c r="V63" i="57"/>
  <c r="Z12" i="58"/>
  <c r="J16" i="58"/>
  <c r="V20" i="58"/>
  <c r="J24" i="58"/>
  <c r="F25" i="58"/>
  <c r="V28" i="58"/>
  <c r="V32" i="58"/>
  <c r="J34" i="58"/>
  <c r="F37" i="58"/>
  <c r="F40" i="58"/>
  <c r="V40" i="58"/>
  <c r="J42" i="58"/>
  <c r="F45" i="58"/>
  <c r="J48" i="58"/>
  <c r="F49" i="58"/>
  <c r="F52" i="58"/>
  <c r="V52" i="58"/>
  <c r="J56" i="58"/>
  <c r="X59" i="58"/>
  <c r="V60" i="58"/>
  <c r="F64" i="58"/>
  <c r="V64" i="58"/>
  <c r="V66" i="58"/>
  <c r="F71" i="58"/>
  <c r="V71" i="58"/>
  <c r="N12" i="59"/>
  <c r="J14" i="59"/>
  <c r="R16" i="59"/>
  <c r="J18" i="59"/>
  <c r="J20" i="59"/>
  <c r="V24" i="59"/>
  <c r="R25" i="59"/>
  <c r="J28" i="59"/>
  <c r="J32" i="59"/>
  <c r="X35" i="59"/>
  <c r="Z35" i="59" s="1"/>
  <c r="V36" i="59"/>
  <c r="L37" i="59"/>
  <c r="N37" i="59" s="1"/>
  <c r="V40" i="59"/>
  <c r="R41" i="59"/>
  <c r="J42" i="59"/>
  <c r="R48" i="59"/>
  <c r="J50" i="59"/>
  <c r="R54" i="59"/>
  <c r="J57" i="59"/>
  <c r="V16" i="60"/>
  <c r="F23" i="60"/>
  <c r="V26" i="60"/>
  <c r="F31" i="60"/>
  <c r="F34" i="60"/>
  <c r="V34" i="60"/>
  <c r="X37" i="60"/>
  <c r="Z37" i="60" s="1"/>
  <c r="V38" i="60"/>
  <c r="J40" i="60"/>
  <c r="L14" i="61"/>
  <c r="L18" i="61"/>
  <c r="N18" i="61" s="1"/>
  <c r="R19" i="61"/>
  <c r="R26" i="61"/>
  <c r="R30" i="61"/>
  <c r="R35" i="61"/>
  <c r="R38" i="61"/>
  <c r="R88" i="62"/>
  <c r="R83" i="62"/>
  <c r="R91" i="62"/>
  <c r="R82" i="62"/>
  <c r="R74" i="62"/>
  <c r="R70" i="62"/>
  <c r="R99" i="62"/>
  <c r="R85" i="62"/>
  <c r="R81" i="62"/>
  <c r="R73" i="62"/>
  <c r="R69" i="62"/>
  <c r="R65" i="62"/>
  <c r="R62" i="62"/>
  <c r="R104" i="62"/>
  <c r="R97" i="62"/>
  <c r="R94" i="62"/>
  <c r="R87" i="62"/>
  <c r="R84" i="62"/>
  <c r="R79" i="62"/>
  <c r="R67" i="62"/>
  <c r="R64" i="62"/>
  <c r="R89" i="62"/>
  <c r="R86" i="62"/>
  <c r="L14" i="62"/>
  <c r="R17" i="62"/>
  <c r="R26" i="62"/>
  <c r="R31" i="62"/>
  <c r="R38" i="62"/>
  <c r="R43" i="62"/>
  <c r="R46" i="62"/>
  <c r="X48" i="62"/>
  <c r="V49" i="62"/>
  <c r="L50" i="62"/>
  <c r="X56" i="62"/>
  <c r="V57" i="62"/>
  <c r="L58" i="62"/>
  <c r="V62" i="62"/>
  <c r="R63" i="62"/>
  <c r="F72" i="62"/>
  <c r="N84" i="62"/>
  <c r="V89" i="62"/>
  <c r="L13" i="64"/>
  <c r="N13" i="64" s="1"/>
  <c r="D12" i="64"/>
  <c r="X16" i="64"/>
  <c r="Z16" i="64" s="1"/>
  <c r="P105" i="66"/>
  <c r="X105" i="66" s="1"/>
  <c r="Z105" i="66" s="1"/>
  <c r="X107" i="66"/>
  <c r="N35" i="67"/>
  <c r="J43" i="67"/>
  <c r="J27" i="53"/>
  <c r="J31" i="53"/>
  <c r="J34" i="53"/>
  <c r="F14" i="55"/>
  <c r="F18" i="55"/>
  <c r="J22" i="55"/>
  <c r="F30" i="55"/>
  <c r="F37" i="55"/>
  <c r="R16" i="56"/>
  <c r="V24" i="56"/>
  <c r="R25" i="56"/>
  <c r="V28" i="56"/>
  <c r="R29" i="56"/>
  <c r="V32" i="56"/>
  <c r="R33" i="56"/>
  <c r="R38" i="56"/>
  <c r="V40" i="56"/>
  <c r="R41" i="56"/>
  <c r="R50" i="56"/>
  <c r="V52" i="56"/>
  <c r="R53" i="56"/>
  <c r="V56" i="56"/>
  <c r="V60" i="56"/>
  <c r="V62" i="56"/>
  <c r="V67" i="56"/>
  <c r="R16" i="57"/>
  <c r="V24" i="57"/>
  <c r="R25" i="57"/>
  <c r="V28" i="57"/>
  <c r="R29" i="57"/>
  <c r="V32" i="57"/>
  <c r="R33" i="57"/>
  <c r="V48" i="57"/>
  <c r="R49" i="57"/>
  <c r="R54" i="57"/>
  <c r="P59" i="57"/>
  <c r="J19" i="58"/>
  <c r="V21" i="58"/>
  <c r="J25" i="58"/>
  <c r="F26" i="58"/>
  <c r="F30" i="58"/>
  <c r="V33" i="58"/>
  <c r="J37" i="58"/>
  <c r="V41" i="58"/>
  <c r="J45" i="58"/>
  <c r="F46" i="58"/>
  <c r="J49" i="58"/>
  <c r="V53" i="58"/>
  <c r="F57" i="58"/>
  <c r="V57" i="58"/>
  <c r="J59" i="58"/>
  <c r="T16" i="59"/>
  <c r="R19" i="59"/>
  <c r="J21" i="59"/>
  <c r="V25" i="59"/>
  <c r="R26" i="59"/>
  <c r="V29" i="59"/>
  <c r="R30" i="59"/>
  <c r="V33" i="59"/>
  <c r="R34" i="59"/>
  <c r="J35" i="59"/>
  <c r="V41" i="59"/>
  <c r="J45" i="59"/>
  <c r="F19" i="60"/>
  <c r="V19" i="60"/>
  <c r="J23" i="60"/>
  <c r="F24" i="60"/>
  <c r="V27" i="60"/>
  <c r="J31" i="60"/>
  <c r="V35" i="60"/>
  <c r="J37" i="60"/>
  <c r="V39" i="60"/>
  <c r="J45" i="60"/>
  <c r="J52" i="60"/>
  <c r="F16" i="61"/>
  <c r="V16" i="61"/>
  <c r="F23" i="61"/>
  <c r="V26" i="61"/>
  <c r="V30" i="61"/>
  <c r="V38" i="61"/>
  <c r="R42" i="61"/>
  <c r="Z44" i="61"/>
  <c r="R48" i="61"/>
  <c r="V82" i="62"/>
  <c r="V104" i="62"/>
  <c r="V99" i="62"/>
  <c r="V97" i="62"/>
  <c r="V85" i="62"/>
  <c r="V81" i="62"/>
  <c r="V73" i="62"/>
  <c r="V69" i="62"/>
  <c r="V65" i="62"/>
  <c r="V94" i="62"/>
  <c r="V84" i="62"/>
  <c r="V80" i="62"/>
  <c r="V76" i="62"/>
  <c r="V72" i="62"/>
  <c r="V68" i="62"/>
  <c r="V64" i="62"/>
  <c r="V90" i="62"/>
  <c r="V86" i="62"/>
  <c r="V78" i="62"/>
  <c r="V66" i="62"/>
  <c r="V92" i="62"/>
  <c r="V88" i="62"/>
  <c r="D97" i="62"/>
  <c r="T17" i="62"/>
  <c r="X17" i="62" s="1"/>
  <c r="R20" i="62"/>
  <c r="V26" i="62"/>
  <c r="R27" i="62"/>
  <c r="F35" i="62"/>
  <c r="V38" i="62"/>
  <c r="V46" i="62"/>
  <c r="R47" i="62"/>
  <c r="F51" i="62"/>
  <c r="R52" i="62"/>
  <c r="F54" i="62"/>
  <c r="V54" i="62"/>
  <c r="R55" i="62"/>
  <c r="F59" i="62"/>
  <c r="R60" i="62"/>
  <c r="F62" i="62"/>
  <c r="V63" i="62"/>
  <c r="R66" i="62"/>
  <c r="V67" i="62"/>
  <c r="F70" i="62"/>
  <c r="V75" i="62"/>
  <c r="V77" i="62"/>
  <c r="R80" i="62"/>
  <c r="N94" i="62"/>
  <c r="J46" i="64"/>
  <c r="J56" i="64"/>
  <c r="J64" i="64"/>
  <c r="T36" i="65"/>
  <c r="N15" i="66"/>
  <c r="Z26" i="66"/>
  <c r="Z27" i="66"/>
  <c r="Z107" i="66"/>
  <c r="H12" i="69"/>
  <c r="N60" i="70"/>
  <c r="J16" i="53"/>
  <c r="L12" i="55"/>
  <c r="P16" i="55"/>
  <c r="F20" i="55"/>
  <c r="R21" i="55"/>
  <c r="F23" i="55"/>
  <c r="R24" i="55"/>
  <c r="T16" i="56"/>
  <c r="X16" i="56" s="1"/>
  <c r="R19" i="56"/>
  <c r="V25" i="56"/>
  <c r="R26" i="56"/>
  <c r="V29" i="56"/>
  <c r="R30" i="56"/>
  <c r="V33" i="56"/>
  <c r="V41" i="56"/>
  <c r="R47" i="56"/>
  <c r="V53" i="56"/>
  <c r="R54" i="56"/>
  <c r="T16" i="57"/>
  <c r="X16" i="57" s="1"/>
  <c r="R19" i="57"/>
  <c r="V25" i="57"/>
  <c r="R26" i="57"/>
  <c r="V29" i="57"/>
  <c r="R30" i="57"/>
  <c r="V33" i="57"/>
  <c r="R39" i="57"/>
  <c r="V41" i="57"/>
  <c r="R42" i="57"/>
  <c r="V45" i="57"/>
  <c r="R46" i="57"/>
  <c r="V49" i="57"/>
  <c r="R59" i="57"/>
  <c r="R66" i="57"/>
  <c r="F14" i="58"/>
  <c r="V14" i="58"/>
  <c r="F18" i="58"/>
  <c r="V18" i="58"/>
  <c r="V22" i="58"/>
  <c r="J26" i="58"/>
  <c r="F27" i="58"/>
  <c r="J30" i="58"/>
  <c r="F31" i="58"/>
  <c r="F35" i="58"/>
  <c r="F38" i="58"/>
  <c r="V38" i="58"/>
  <c r="J40" i="58"/>
  <c r="F43" i="58"/>
  <c r="J46" i="58"/>
  <c r="F50" i="58"/>
  <c r="V50" i="58"/>
  <c r="J52" i="58"/>
  <c r="V54" i="58"/>
  <c r="V58" i="58"/>
  <c r="J64" i="58"/>
  <c r="J71" i="58"/>
  <c r="V16" i="59"/>
  <c r="J22" i="59"/>
  <c r="V26" i="59"/>
  <c r="R27" i="59"/>
  <c r="V30" i="59"/>
  <c r="R31" i="59"/>
  <c r="V34" i="59"/>
  <c r="J38" i="59"/>
  <c r="R44" i="59"/>
  <c r="J46" i="59"/>
  <c r="V48" i="59"/>
  <c r="J52" i="59"/>
  <c r="V54" i="59"/>
  <c r="F32" i="60"/>
  <c r="V32" i="60"/>
  <c r="V36" i="60"/>
  <c r="F41" i="60"/>
  <c r="F47" i="60"/>
  <c r="X12" i="61"/>
  <c r="X16" i="61"/>
  <c r="F19" i="61"/>
  <c r="V19" i="61"/>
  <c r="R20" i="61"/>
  <c r="F24" i="61"/>
  <c r="F28" i="61"/>
  <c r="F32" i="61"/>
  <c r="R33" i="61"/>
  <c r="F35" i="61"/>
  <c r="V35" i="61"/>
  <c r="R36" i="61"/>
  <c r="F40" i="61"/>
  <c r="F46" i="61"/>
  <c r="X12" i="62"/>
  <c r="V27" i="62"/>
  <c r="R28" i="62"/>
  <c r="V31" i="62"/>
  <c r="R32" i="62"/>
  <c r="F40" i="62"/>
  <c r="R41" i="62"/>
  <c r="F43" i="62"/>
  <c r="V43" i="62"/>
  <c r="R44" i="62"/>
  <c r="V47" i="62"/>
  <c r="V55" i="62"/>
  <c r="Z66" i="62"/>
  <c r="R72" i="62"/>
  <c r="F75" i="62"/>
  <c r="F91" i="62"/>
  <c r="R95" i="62"/>
  <c r="P12" i="64"/>
  <c r="J42" i="64"/>
  <c r="J50" i="64"/>
  <c r="L16" i="65"/>
  <c r="X31" i="69"/>
  <c r="Z31" i="69" s="1"/>
  <c r="N51" i="71"/>
  <c r="V16" i="56"/>
  <c r="V26" i="56"/>
  <c r="V30" i="56"/>
  <c r="V38" i="56"/>
  <c r="V50" i="56"/>
  <c r="V54" i="56"/>
  <c r="V16" i="57"/>
  <c r="V26" i="57"/>
  <c r="V30" i="57"/>
  <c r="V42" i="57"/>
  <c r="V46" i="57"/>
  <c r="V54" i="57"/>
  <c r="V23" i="58"/>
  <c r="J35" i="58"/>
  <c r="V39" i="58"/>
  <c r="J43" i="58"/>
  <c r="F47" i="58"/>
  <c r="V47" i="58"/>
  <c r="V51" i="58"/>
  <c r="V55" i="58"/>
  <c r="J57" i="58"/>
  <c r="F60" i="58"/>
  <c r="F66" i="58"/>
  <c r="X12" i="59"/>
  <c r="H16" i="59"/>
  <c r="V19" i="59"/>
  <c r="R20" i="59"/>
  <c r="J23" i="59"/>
  <c r="V27" i="59"/>
  <c r="R28" i="59"/>
  <c r="J29" i="59"/>
  <c r="V31" i="59"/>
  <c r="R32" i="59"/>
  <c r="J33" i="59"/>
  <c r="R37" i="59"/>
  <c r="J39" i="59"/>
  <c r="J43" i="59"/>
  <c r="J19" i="60"/>
  <c r="V21" i="60"/>
  <c r="J25" i="60"/>
  <c r="F26" i="60"/>
  <c r="J29" i="60"/>
  <c r="V33" i="60"/>
  <c r="F38" i="60"/>
  <c r="J41" i="60"/>
  <c r="F43" i="60"/>
  <c r="V43" i="60"/>
  <c r="J47" i="60"/>
  <c r="F49" i="60"/>
  <c r="V49" i="60"/>
  <c r="Z12" i="61"/>
  <c r="R14" i="61"/>
  <c r="R18" i="61"/>
  <c r="V20" i="61"/>
  <c r="R21" i="61"/>
  <c r="F25" i="61"/>
  <c r="F29" i="61"/>
  <c r="V36" i="61"/>
  <c r="F42" i="61"/>
  <c r="V42" i="61"/>
  <c r="F48" i="61"/>
  <c r="V48" i="61"/>
  <c r="Z12" i="62"/>
  <c r="R14" i="62"/>
  <c r="F20" i="62"/>
  <c r="V20" i="62"/>
  <c r="R21" i="62"/>
  <c r="F25" i="62"/>
  <c r="V28" i="62"/>
  <c r="R29" i="62"/>
  <c r="V32" i="62"/>
  <c r="R33" i="62"/>
  <c r="F37" i="62"/>
  <c r="V44" i="62"/>
  <c r="F49" i="62"/>
  <c r="R50" i="62"/>
  <c r="F52" i="62"/>
  <c r="V52" i="62"/>
  <c r="R53" i="62"/>
  <c r="F57" i="62"/>
  <c r="R58" i="62"/>
  <c r="F60" i="62"/>
  <c r="V60" i="62"/>
  <c r="R61" i="62"/>
  <c r="V70" i="62"/>
  <c r="F76" i="62"/>
  <c r="F77" i="62"/>
  <c r="V79" i="62"/>
  <c r="F82" i="62"/>
  <c r="V83" i="62"/>
  <c r="Z84" i="62"/>
  <c r="L86" i="62"/>
  <c r="Z88" i="62"/>
  <c r="T12" i="64"/>
  <c r="J34" i="64"/>
  <c r="N41" i="64"/>
  <c r="X57" i="64"/>
  <c r="N69" i="64"/>
  <c r="J72" i="64"/>
  <c r="L24" i="65"/>
  <c r="N24" i="65" s="1"/>
  <c r="N14" i="66"/>
  <c r="N23" i="66"/>
  <c r="L29" i="66"/>
  <c r="D16" i="55"/>
  <c r="R19" i="55"/>
  <c r="F21" i="55"/>
  <c r="F26" i="55"/>
  <c r="X12" i="56"/>
  <c r="V19" i="56"/>
  <c r="V27" i="56"/>
  <c r="V31" i="56"/>
  <c r="V39" i="56"/>
  <c r="V47" i="56"/>
  <c r="X12" i="57"/>
  <c r="V19" i="57"/>
  <c r="R20" i="57"/>
  <c r="V27" i="57"/>
  <c r="V31" i="57"/>
  <c r="V39" i="57"/>
  <c r="R40" i="57"/>
  <c r="V43" i="57"/>
  <c r="V55" i="57"/>
  <c r="V59" i="57"/>
  <c r="V61" i="57"/>
  <c r="N12" i="58"/>
  <c r="J14" i="58"/>
  <c r="J18" i="58"/>
  <c r="J20" i="58"/>
  <c r="F21" i="58"/>
  <c r="V24" i="58"/>
  <c r="J28" i="58"/>
  <c r="J32" i="58"/>
  <c r="F33" i="58"/>
  <c r="F36" i="58"/>
  <c r="V36" i="58"/>
  <c r="J38" i="58"/>
  <c r="F41" i="58"/>
  <c r="F44" i="58"/>
  <c r="V44" i="58"/>
  <c r="V48" i="58"/>
  <c r="J50" i="58"/>
  <c r="F53" i="58"/>
  <c r="V56" i="58"/>
  <c r="J60" i="58"/>
  <c r="F62" i="58"/>
  <c r="V62" i="58"/>
  <c r="Z12" i="59"/>
  <c r="R14" i="59"/>
  <c r="J16" i="59"/>
  <c r="R18" i="59"/>
  <c r="V20" i="59"/>
  <c r="R21" i="59"/>
  <c r="J24" i="59"/>
  <c r="V28" i="59"/>
  <c r="V32" i="59"/>
  <c r="J36" i="59"/>
  <c r="J40" i="59"/>
  <c r="R42" i="59"/>
  <c r="R45" i="59"/>
  <c r="J48" i="59"/>
  <c r="R50" i="59"/>
  <c r="F14" i="60"/>
  <c r="V14" i="60"/>
  <c r="F18" i="60"/>
  <c r="V18" i="60"/>
  <c r="V22" i="60"/>
  <c r="J26" i="60"/>
  <c r="F27" i="60"/>
  <c r="F30" i="60"/>
  <c r="J32" i="60"/>
  <c r="F35" i="60"/>
  <c r="V21" i="61"/>
  <c r="R22" i="61"/>
  <c r="F26" i="61"/>
  <c r="R27" i="61"/>
  <c r="F30" i="61"/>
  <c r="R31" i="61"/>
  <c r="F33" i="61"/>
  <c r="R34" i="61"/>
  <c r="F87" i="62"/>
  <c r="F79" i="62"/>
  <c r="F104" i="62"/>
  <c r="F97" i="62"/>
  <c r="F90" i="62"/>
  <c r="F78" i="62"/>
  <c r="F94" i="62"/>
  <c r="F89" i="62"/>
  <c r="F84" i="62"/>
  <c r="F64" i="62"/>
  <c r="F86" i="62"/>
  <c r="F83" i="62"/>
  <c r="F66" i="62"/>
  <c r="F99" i="62"/>
  <c r="F88" i="62"/>
  <c r="F85" i="62"/>
  <c r="F81" i="62"/>
  <c r="F73" i="62"/>
  <c r="F69" i="62"/>
  <c r="R19" i="62"/>
  <c r="V21" i="62"/>
  <c r="R22" i="62"/>
  <c r="F26" i="62"/>
  <c r="V29" i="62"/>
  <c r="R30" i="62"/>
  <c r="V33" i="62"/>
  <c r="R34" i="62"/>
  <c r="F38" i="62"/>
  <c r="R39" i="62"/>
  <c r="F41" i="62"/>
  <c r="V41" i="62"/>
  <c r="R42" i="62"/>
  <c r="F46" i="62"/>
  <c r="V53" i="62"/>
  <c r="V61" i="62"/>
  <c r="F63" i="62"/>
  <c r="F68" i="62"/>
  <c r="R71" i="62"/>
  <c r="F74" i="62"/>
  <c r="N77" i="62"/>
  <c r="V87" i="62"/>
  <c r="V95" i="62"/>
  <c r="Z18" i="64"/>
  <c r="X22" i="64"/>
  <c r="Z24" i="64"/>
  <c r="X24" i="64"/>
  <c r="N27" i="64"/>
  <c r="J68" i="64"/>
  <c r="H16" i="65"/>
  <c r="N14" i="65"/>
  <c r="D12" i="66"/>
  <c r="N29" i="66"/>
  <c r="Z30" i="66"/>
  <c r="L105" i="66"/>
  <c r="J18" i="67"/>
  <c r="Z13" i="64"/>
  <c r="N12" i="65"/>
  <c r="J14" i="65"/>
  <c r="J18" i="65"/>
  <c r="J20" i="65"/>
  <c r="F24" i="65"/>
  <c r="V24" i="65"/>
  <c r="V28" i="65"/>
  <c r="F32" i="65"/>
  <c r="V32" i="65"/>
  <c r="V34" i="65"/>
  <c r="F39" i="65"/>
  <c r="V39" i="65"/>
  <c r="L13" i="66"/>
  <c r="N13" i="66" s="1"/>
  <c r="X30" i="66"/>
  <c r="X34" i="66"/>
  <c r="Z34" i="66" s="1"/>
  <c r="F43" i="67"/>
  <c r="F40" i="67"/>
  <c r="F35" i="67"/>
  <c r="F32" i="67"/>
  <c r="F23" i="67"/>
  <c r="F31" i="67"/>
  <c r="F18" i="67"/>
  <c r="F42" i="67"/>
  <c r="F37" i="67"/>
  <c r="F34" i="67"/>
  <c r="F30" i="67"/>
  <c r="F52" i="67"/>
  <c r="F46" i="67"/>
  <c r="F29" i="67"/>
  <c r="F24" i="67"/>
  <c r="F50" i="67"/>
  <c r="F44" i="67"/>
  <c r="F39" i="67"/>
  <c r="F36" i="67"/>
  <c r="F28" i="67"/>
  <c r="F21" i="67"/>
  <c r="L12" i="67"/>
  <c r="F27" i="67"/>
  <c r="D21" i="67"/>
  <c r="F19" i="67"/>
  <c r="L35" i="67"/>
  <c r="Z39" i="67"/>
  <c r="X32" i="69"/>
  <c r="Z32" i="69" s="1"/>
  <c r="Z41" i="69"/>
  <c r="L60" i="70"/>
  <c r="F16" i="65"/>
  <c r="V16" i="65"/>
  <c r="V22" i="65"/>
  <c r="J24" i="65"/>
  <c r="V26" i="65"/>
  <c r="J32" i="65"/>
  <c r="J39" i="65"/>
  <c r="T12" i="66"/>
  <c r="Z29" i="66"/>
  <c r="Z33" i="66"/>
  <c r="L38" i="66"/>
  <c r="N57" i="66"/>
  <c r="Z68" i="66"/>
  <c r="F25" i="67"/>
  <c r="F55" i="67"/>
  <c r="Z15" i="69"/>
  <c r="N19" i="69"/>
  <c r="Z40" i="69"/>
  <c r="F93" i="71"/>
  <c r="F88" i="71"/>
  <c r="F79" i="71"/>
  <c r="F76" i="71"/>
  <c r="F56" i="71"/>
  <c r="F49" i="71"/>
  <c r="F40" i="71"/>
  <c r="F35" i="71"/>
  <c r="F97" i="71"/>
  <c r="F75" i="71"/>
  <c r="F70" i="71"/>
  <c r="F67" i="71"/>
  <c r="F62" i="71"/>
  <c r="F55" i="71"/>
  <c r="D49" i="71"/>
  <c r="F47" i="71"/>
  <c r="F39" i="71"/>
  <c r="F91" i="71"/>
  <c r="F85" i="71"/>
  <c r="F81" i="71"/>
  <c r="F78" i="71"/>
  <c r="F66" i="71"/>
  <c r="F54" i="71"/>
  <c r="F46" i="71"/>
  <c r="F38" i="71"/>
  <c r="F87" i="71"/>
  <c r="F84" i="71"/>
  <c r="F80" i="71"/>
  <c r="F68" i="71"/>
  <c r="F51" i="71"/>
  <c r="F42" i="71"/>
  <c r="F77" i="71"/>
  <c r="F58" i="71"/>
  <c r="F57" i="71"/>
  <c r="F43" i="71"/>
  <c r="F86" i="71"/>
  <c r="F59" i="71"/>
  <c r="F37" i="71"/>
  <c r="F36" i="71"/>
  <c r="F63" i="71"/>
  <c r="F45" i="71"/>
  <c r="F44" i="71"/>
  <c r="F82" i="71"/>
  <c r="F60" i="71"/>
  <c r="F53" i="71"/>
  <c r="F74" i="71"/>
  <c r="F69" i="71"/>
  <c r="F65" i="71"/>
  <c r="F83" i="71"/>
  <c r="F71" i="71"/>
  <c r="F52" i="71"/>
  <c r="F41" i="71"/>
  <c r="F61" i="71"/>
  <c r="F92" i="71"/>
  <c r="F72" i="71"/>
  <c r="F90" i="71"/>
  <c r="F73" i="71"/>
  <c r="J21" i="65"/>
  <c r="X80" i="66"/>
  <c r="Z80" i="66" s="1"/>
  <c r="X88" i="66"/>
  <c r="Z88" i="66" s="1"/>
  <c r="P12" i="69"/>
  <c r="X14" i="69"/>
  <c r="L108" i="69"/>
  <c r="N108" i="69" s="1"/>
  <c r="X132" i="69"/>
  <c r="P130" i="69"/>
  <c r="X130" i="69" s="1"/>
  <c r="Z130" i="69" s="1"/>
  <c r="N30" i="70"/>
  <c r="L95" i="62"/>
  <c r="N95" i="62" s="1"/>
  <c r="J16" i="65"/>
  <c r="V20" i="65"/>
  <c r="F25" i="65"/>
  <c r="J28" i="65"/>
  <c r="F30" i="65"/>
  <c r="V30" i="65"/>
  <c r="J34" i="65"/>
  <c r="F36" i="65"/>
  <c r="X13" i="66"/>
  <c r="Z13" i="66" s="1"/>
  <c r="L17" i="66"/>
  <c r="N17" i="66" s="1"/>
  <c r="X21" i="66"/>
  <c r="L25" i="66"/>
  <c r="N25" i="66" s="1"/>
  <c r="L36" i="66"/>
  <c r="N38" i="66"/>
  <c r="N82" i="66"/>
  <c r="L82" i="66"/>
  <c r="L90" i="66"/>
  <c r="N90" i="66" s="1"/>
  <c r="F33" i="67"/>
  <c r="Z14" i="69"/>
  <c r="D12" i="69"/>
  <c r="Z132" i="69"/>
  <c r="N23" i="70"/>
  <c r="L30" i="70"/>
  <c r="J19" i="65"/>
  <c r="F22" i="65"/>
  <c r="J25" i="65"/>
  <c r="L30" i="66"/>
  <c r="N30" i="66" s="1"/>
  <c r="L34" i="66"/>
  <c r="N34" i="66" s="1"/>
  <c r="N94" i="66"/>
  <c r="L94" i="66"/>
  <c r="L108" i="66"/>
  <c r="N108" i="66" s="1"/>
  <c r="H105" i="66"/>
  <c r="X15" i="67"/>
  <c r="N23" i="67"/>
  <c r="N33" i="67"/>
  <c r="F38" i="67"/>
  <c r="L43" i="67"/>
  <c r="T12" i="69"/>
  <c r="Z13" i="69"/>
  <c r="L17" i="69"/>
  <c r="N17" i="69" s="1"/>
  <c r="N28" i="69"/>
  <c r="L36" i="69"/>
  <c r="X20" i="70"/>
  <c r="P12" i="70"/>
  <c r="J22" i="65"/>
  <c r="J26" i="65"/>
  <c r="J30" i="65"/>
  <c r="P12" i="67"/>
  <c r="X33" i="67"/>
  <c r="Z33" i="67" s="1"/>
  <c r="N43" i="67"/>
  <c r="L27" i="69"/>
  <c r="N27" i="69" s="1"/>
  <c r="N36" i="69"/>
  <c r="L15" i="70"/>
  <c r="N15" i="70" s="1"/>
  <c r="L27" i="71"/>
  <c r="H12" i="71"/>
  <c r="N27" i="71"/>
  <c r="N45" i="69"/>
  <c r="Z20" i="70"/>
  <c r="N74" i="70"/>
  <c r="X77" i="71"/>
  <c r="Z77" i="71" s="1"/>
  <c r="L22" i="69"/>
  <c r="Z29" i="69"/>
  <c r="L35" i="69"/>
  <c r="N35" i="69" s="1"/>
  <c r="L43" i="69"/>
  <c r="N43" i="69" s="1"/>
  <c r="N44" i="69"/>
  <c r="X49" i="69"/>
  <c r="Z49" i="69" s="1"/>
  <c r="N82" i="69"/>
  <c r="N14" i="70"/>
  <c r="N18" i="70"/>
  <c r="X19" i="70"/>
  <c r="L56" i="70"/>
  <c r="Z60" i="70"/>
  <c r="N73" i="70"/>
  <c r="Z16" i="71"/>
  <c r="Z23" i="71"/>
  <c r="N26" i="71"/>
  <c r="N21" i="69"/>
  <c r="N22" i="69"/>
  <c r="L54" i="69"/>
  <c r="N54" i="69" s="1"/>
  <c r="X92" i="69"/>
  <c r="N121" i="69"/>
  <c r="D12" i="70"/>
  <c r="Z19" i="70"/>
  <c r="Z45" i="70"/>
  <c r="N56" i="70"/>
  <c r="N62" i="70"/>
  <c r="L93" i="71"/>
  <c r="N93" i="71" s="1"/>
  <c r="H90" i="71"/>
  <c r="Z82" i="69"/>
  <c r="Z92" i="69"/>
  <c r="N105" i="69"/>
  <c r="H12" i="70"/>
  <c r="L13" i="70"/>
  <c r="N13" i="70" s="1"/>
  <c r="Z18" i="70"/>
  <c r="L130" i="69"/>
  <c r="Z56" i="70"/>
  <c r="L90" i="71"/>
  <c r="Z24" i="69"/>
  <c r="L29" i="69"/>
  <c r="X33" i="69"/>
  <c r="Z33" i="69" s="1"/>
  <c r="Z34" i="69"/>
  <c r="L37" i="69"/>
  <c r="N37" i="69" s="1"/>
  <c r="X41" i="69"/>
  <c r="N51" i="69"/>
  <c r="Z54" i="69"/>
  <c r="X116" i="69"/>
  <c r="Z116" i="69" s="1"/>
  <c r="T12" i="70"/>
  <c r="X17" i="70"/>
  <c r="X56" i="70"/>
  <c r="N20" i="71"/>
  <c r="X87" i="71"/>
  <c r="Z87" i="71" s="1"/>
  <c r="N28" i="74"/>
  <c r="L28" i="74"/>
  <c r="T12" i="71"/>
  <c r="Z17" i="71"/>
  <c r="Z18" i="71"/>
  <c r="Z81" i="71"/>
  <c r="X16" i="73"/>
  <c r="Z16" i="73" s="1"/>
  <c r="N22" i="73"/>
  <c r="R30" i="74"/>
  <c r="X103" i="69"/>
  <c r="L105" i="69"/>
  <c r="X119" i="69"/>
  <c r="Z119" i="69" s="1"/>
  <c r="L121" i="69"/>
  <c r="L125" i="69"/>
  <c r="N125" i="69" s="1"/>
  <c r="L131" i="69"/>
  <c r="N131" i="69" s="1"/>
  <c r="X25" i="70"/>
  <c r="X29" i="70"/>
  <c r="Z29" i="70" s="1"/>
  <c r="X45" i="70"/>
  <c r="L47" i="70"/>
  <c r="Z73" i="70"/>
  <c r="L74" i="70"/>
  <c r="Z14" i="71"/>
  <c r="N21" i="71"/>
  <c r="N22" i="71"/>
  <c r="Z51" i="71"/>
  <c r="L52" i="71"/>
  <c r="N52" i="71" s="1"/>
  <c r="Z85" i="71"/>
  <c r="V16" i="73"/>
  <c r="V22" i="73"/>
  <c r="Z46" i="73"/>
  <c r="P44" i="74"/>
  <c r="Z37" i="74"/>
  <c r="H130" i="69"/>
  <c r="Z27" i="71"/>
  <c r="X91" i="71"/>
  <c r="Z91" i="71" s="1"/>
  <c r="P90" i="71"/>
  <c r="X22" i="73"/>
  <c r="Z22" i="73" s="1"/>
  <c r="L62" i="73"/>
  <c r="R46" i="74"/>
  <c r="R40" i="74"/>
  <c r="R37" i="74"/>
  <c r="X12" i="74"/>
  <c r="R48" i="74"/>
  <c r="R42" i="74"/>
  <c r="R32" i="74"/>
  <c r="R27" i="74"/>
  <c r="R23" i="74"/>
  <c r="R15" i="74"/>
  <c r="R35" i="74"/>
  <c r="R44" i="74"/>
  <c r="R29" i="74"/>
  <c r="R28" i="74"/>
  <c r="R39" i="74"/>
  <c r="R33" i="74"/>
  <c r="R19" i="74"/>
  <c r="R38" i="74"/>
  <c r="R34" i="74"/>
  <c r="R26" i="74"/>
  <c r="R51" i="74"/>
  <c r="R22" i="74"/>
  <c r="R17" i="74"/>
  <c r="R14" i="74"/>
  <c r="R24" i="74"/>
  <c r="R20" i="74"/>
  <c r="R21" i="74"/>
  <c r="N39" i="74"/>
  <c r="X15" i="75"/>
  <c r="Z15" i="75" s="1"/>
  <c r="Z26" i="71"/>
  <c r="N87" i="71"/>
  <c r="T90" i="71"/>
  <c r="D12" i="73"/>
  <c r="Z21" i="73"/>
  <c r="L73" i="70"/>
  <c r="N15" i="71"/>
  <c r="L18" i="71"/>
  <c r="N18" i="71" s="1"/>
  <c r="X22" i="71"/>
  <c r="Z22" i="71" s="1"/>
  <c r="L35" i="71"/>
  <c r="N35" i="71" s="1"/>
  <c r="L51" i="71"/>
  <c r="N79" i="71"/>
  <c r="H12" i="73"/>
  <c r="Z37" i="73"/>
  <c r="Z48" i="73"/>
  <c r="V48" i="73"/>
  <c r="N51" i="73"/>
  <c r="Z57" i="73"/>
  <c r="Z26" i="74"/>
  <c r="L42" i="74"/>
  <c r="F20" i="75"/>
  <c r="F25" i="75"/>
  <c r="F27" i="75"/>
  <c r="D23" i="75"/>
  <c r="F23" i="75" s="1"/>
  <c r="L12" i="75"/>
  <c r="N12" i="75" s="1"/>
  <c r="F19" i="75"/>
  <c r="F31" i="75"/>
  <c r="F21" i="75"/>
  <c r="F18" i="75"/>
  <c r="X24" i="77"/>
  <c r="Z24" i="77" s="1"/>
  <c r="N13" i="71"/>
  <c r="N14" i="71"/>
  <c r="P12" i="71"/>
  <c r="N30" i="71"/>
  <c r="Z92" i="71"/>
  <c r="R31" i="74"/>
  <c r="R48" i="73"/>
  <c r="R64" i="73"/>
  <c r="N19" i="74"/>
  <c r="J25" i="75"/>
  <c r="J19" i="75"/>
  <c r="J27" i="75"/>
  <c r="J23" i="75"/>
  <c r="J31" i="75"/>
  <c r="J20" i="75"/>
  <c r="J18" i="75"/>
  <c r="J21" i="75"/>
  <c r="T12" i="77"/>
  <c r="X16" i="77"/>
  <c r="Z16" i="77" s="1"/>
  <c r="L28" i="77"/>
  <c r="N28" i="77" s="1"/>
  <c r="L39" i="91"/>
  <c r="N39" i="91" s="1"/>
  <c r="R17" i="73"/>
  <c r="R25" i="73"/>
  <c r="X39" i="73"/>
  <c r="Z39" i="73" s="1"/>
  <c r="L41" i="73"/>
  <c r="R46" i="73"/>
  <c r="R49" i="73"/>
  <c r="X51" i="73"/>
  <c r="Z51" i="73" s="1"/>
  <c r="R53" i="73"/>
  <c r="X59" i="73"/>
  <c r="Z59" i="73" s="1"/>
  <c r="V39" i="74"/>
  <c r="V31" i="74"/>
  <c r="V17" i="74"/>
  <c r="V48" i="74"/>
  <c r="V38" i="74"/>
  <c r="V26" i="74"/>
  <c r="V22" i="74"/>
  <c r="V14" i="74"/>
  <c r="V15" i="74"/>
  <c r="L19" i="74"/>
  <c r="V20" i="74"/>
  <c r="V21" i="74"/>
  <c r="V25" i="74"/>
  <c r="X37" i="74"/>
  <c r="R27" i="75"/>
  <c r="R31" i="75"/>
  <c r="R21" i="75"/>
  <c r="R25" i="75"/>
  <c r="R20" i="75"/>
  <c r="R19" i="75"/>
  <c r="R18" i="75"/>
  <c r="P23" i="75"/>
  <c r="R23" i="75" s="1"/>
  <c r="Z45" i="76"/>
  <c r="D12" i="77"/>
  <c r="L13" i="77"/>
  <c r="F30" i="78"/>
  <c r="F24" i="78"/>
  <c r="F22" i="78"/>
  <c r="F16" i="78"/>
  <c r="F23" i="78"/>
  <c r="L12" i="78"/>
  <c r="D20" i="78"/>
  <c r="F17" i="78"/>
  <c r="F18" i="78"/>
  <c r="R26" i="73"/>
  <c r="R31" i="73"/>
  <c r="R35" i="73"/>
  <c r="R38" i="73"/>
  <c r="R43" i="73"/>
  <c r="R50" i="73"/>
  <c r="R54" i="73"/>
  <c r="R58" i="73"/>
  <c r="T17" i="74"/>
  <c r="N13" i="77"/>
  <c r="H12" i="77"/>
  <c r="P19" i="73"/>
  <c r="V26" i="73"/>
  <c r="R27" i="73"/>
  <c r="V38" i="73"/>
  <c r="V46" i="73"/>
  <c r="R47" i="73"/>
  <c r="V50" i="73"/>
  <c r="V54" i="73"/>
  <c r="R55" i="73"/>
  <c r="V58" i="73"/>
  <c r="R62" i="73"/>
  <c r="R68" i="73"/>
  <c r="X14" i="74"/>
  <c r="Z14" i="74" s="1"/>
  <c r="V32" i="74"/>
  <c r="V34" i="74"/>
  <c r="L35" i="74"/>
  <c r="J36" i="74"/>
  <c r="V37" i="74"/>
  <c r="Z18" i="75"/>
  <c r="L20" i="76"/>
  <c r="D70" i="76"/>
  <c r="F26" i="78"/>
  <c r="X12" i="73"/>
  <c r="R19" i="73"/>
  <c r="V27" i="73"/>
  <c r="R28" i="73"/>
  <c r="V31" i="73"/>
  <c r="R32" i="73"/>
  <c r="V35" i="73"/>
  <c r="R36" i="73"/>
  <c r="R41" i="73"/>
  <c r="V43" i="73"/>
  <c r="R44" i="73"/>
  <c r="V47" i="73"/>
  <c r="V55" i="73"/>
  <c r="R56" i="73"/>
  <c r="F39" i="74"/>
  <c r="F36" i="74"/>
  <c r="F24" i="74"/>
  <c r="F17" i="74"/>
  <c r="F48" i="74"/>
  <c r="F31" i="74"/>
  <c r="F26" i="74"/>
  <c r="F14" i="74"/>
  <c r="D17" i="74"/>
  <c r="L20" i="74"/>
  <c r="F21" i="74"/>
  <c r="J24" i="74"/>
  <c r="F25" i="74"/>
  <c r="X26" i="74"/>
  <c r="L32" i="74"/>
  <c r="V33" i="74"/>
  <c r="F37" i="74"/>
  <c r="V40" i="74"/>
  <c r="N14" i="75"/>
  <c r="N15" i="75"/>
  <c r="Z16" i="75"/>
  <c r="J59" i="76"/>
  <c r="J55" i="76"/>
  <c r="J49" i="76"/>
  <c r="J43" i="76"/>
  <c r="J35" i="76"/>
  <c r="J31" i="76"/>
  <c r="J72" i="76"/>
  <c r="J66" i="76"/>
  <c r="J46" i="76"/>
  <c r="J40" i="76"/>
  <c r="J34" i="76"/>
  <c r="J30" i="76"/>
  <c r="J16" i="76"/>
  <c r="J63" i="76"/>
  <c r="J51" i="76"/>
  <c r="J37" i="76"/>
  <c r="J33" i="76"/>
  <c r="J29" i="76"/>
  <c r="J23" i="76"/>
  <c r="J77" i="76"/>
  <c r="J70" i="76"/>
  <c r="J58" i="76"/>
  <c r="J54" i="76"/>
  <c r="J48" i="76"/>
  <c r="J42" i="76"/>
  <c r="J28" i="76"/>
  <c r="J20" i="76"/>
  <c r="N12" i="76"/>
  <c r="J65" i="76"/>
  <c r="J45" i="76"/>
  <c r="J39" i="76"/>
  <c r="J27" i="76"/>
  <c r="H20" i="76"/>
  <c r="J62" i="76"/>
  <c r="J50" i="76"/>
  <c r="J36" i="76"/>
  <c r="J32" i="76"/>
  <c r="J26" i="76"/>
  <c r="J18" i="76"/>
  <c r="J68" i="76"/>
  <c r="J44" i="76"/>
  <c r="J41" i="76"/>
  <c r="J74" i="76"/>
  <c r="J64" i="76"/>
  <c r="J47" i="76"/>
  <c r="J60" i="76"/>
  <c r="J56" i="76"/>
  <c r="J61" i="76"/>
  <c r="J57" i="76"/>
  <c r="J52" i="76"/>
  <c r="J38" i="76"/>
  <c r="J24" i="76"/>
  <c r="J25" i="76"/>
  <c r="Z12" i="73"/>
  <c r="T19" i="73"/>
  <c r="R22" i="73"/>
  <c r="V28" i="73"/>
  <c r="R29" i="73"/>
  <c r="V32" i="73"/>
  <c r="R33" i="73"/>
  <c r="V36" i="73"/>
  <c r="V44" i="73"/>
  <c r="R45" i="73"/>
  <c r="V56" i="73"/>
  <c r="J27" i="74"/>
  <c r="J23" i="74"/>
  <c r="J15" i="74"/>
  <c r="J46" i="74"/>
  <c r="J51" i="74"/>
  <c r="J44" i="74"/>
  <c r="J34" i="74"/>
  <c r="J28" i="74"/>
  <c r="J20" i="74"/>
  <c r="J14" i="74"/>
  <c r="H17" i="74"/>
  <c r="V19" i="74"/>
  <c r="J21" i="74"/>
  <c r="J25" i="74"/>
  <c r="V29" i="74"/>
  <c r="J31" i="74"/>
  <c r="F32" i="74"/>
  <c r="V42" i="74"/>
  <c r="V44" i="74"/>
  <c r="F51" i="74"/>
  <c r="H23" i="75"/>
  <c r="T12" i="75"/>
  <c r="R20" i="76"/>
  <c r="R33" i="76"/>
  <c r="F36" i="76"/>
  <c r="V45" i="76"/>
  <c r="L47" i="76"/>
  <c r="N47" i="76" s="1"/>
  <c r="X54" i="76"/>
  <c r="R66" i="76"/>
  <c r="R72" i="76"/>
  <c r="L21" i="77"/>
  <c r="N32" i="77"/>
  <c r="X33" i="77"/>
  <c r="Z33" i="77" s="1"/>
  <c r="L65" i="77"/>
  <c r="N65" i="77" s="1"/>
  <c r="T12" i="78"/>
  <c r="X12" i="78" s="1"/>
  <c r="D20" i="79"/>
  <c r="F26" i="79"/>
  <c r="F42" i="79"/>
  <c r="F45" i="79"/>
  <c r="X46" i="79"/>
  <c r="P67" i="81"/>
  <c r="X67" i="81" s="1"/>
  <c r="Z67" i="81" s="1"/>
  <c r="X69" i="81"/>
  <c r="Z69" i="81" s="1"/>
  <c r="T20" i="76"/>
  <c r="V28" i="76"/>
  <c r="V33" i="76"/>
  <c r="R37" i="76"/>
  <c r="R54" i="76"/>
  <c r="X58" i="76"/>
  <c r="X17" i="77"/>
  <c r="N21" i="77"/>
  <c r="X79" i="77"/>
  <c r="L86" i="77"/>
  <c r="N86" i="77" s="1"/>
  <c r="P20" i="78"/>
  <c r="Z14" i="78"/>
  <c r="Z37" i="79"/>
  <c r="X37" i="79"/>
  <c r="L48" i="79"/>
  <c r="F64" i="76"/>
  <c r="F60" i="76"/>
  <c r="F56" i="76"/>
  <c r="F52" i="76"/>
  <c r="F47" i="76"/>
  <c r="F44" i="76"/>
  <c r="F24" i="76"/>
  <c r="F68" i="76"/>
  <c r="F59" i="76"/>
  <c r="F55" i="76"/>
  <c r="F43" i="76"/>
  <c r="F38" i="76"/>
  <c r="F35" i="76"/>
  <c r="F31" i="76"/>
  <c r="F22" i="76"/>
  <c r="F72" i="76"/>
  <c r="F66" i="76"/>
  <c r="F49" i="76"/>
  <c r="F46" i="76"/>
  <c r="F34" i="76"/>
  <c r="F30" i="76"/>
  <c r="F40" i="76"/>
  <c r="F37" i="76"/>
  <c r="F33" i="76"/>
  <c r="F29" i="76"/>
  <c r="F16" i="76"/>
  <c r="F63" i="76"/>
  <c r="F51" i="76"/>
  <c r="F48" i="76"/>
  <c r="F28" i="76"/>
  <c r="F23" i="76"/>
  <c r="L12" i="76"/>
  <c r="F58" i="76"/>
  <c r="F54" i="76"/>
  <c r="F42" i="76"/>
  <c r="F39" i="76"/>
  <c r="F27" i="76"/>
  <c r="F20" i="76"/>
  <c r="F18" i="76"/>
  <c r="Z32" i="76"/>
  <c r="V37" i="76"/>
  <c r="Z49" i="76"/>
  <c r="X65" i="76"/>
  <c r="Z17" i="77"/>
  <c r="Z28" i="77"/>
  <c r="Z32" i="77"/>
  <c r="N36" i="77"/>
  <c r="L57" i="77"/>
  <c r="Z79" i="77"/>
  <c r="Z83" i="77"/>
  <c r="X83" i="77"/>
  <c r="L93" i="77"/>
  <c r="F74" i="79"/>
  <c r="F71" i="79"/>
  <c r="F70" i="79"/>
  <c r="F73" i="79"/>
  <c r="F69" i="79"/>
  <c r="F64" i="79"/>
  <c r="F77" i="79"/>
  <c r="F68" i="79"/>
  <c r="F81" i="79"/>
  <c r="F75" i="79"/>
  <c r="F67" i="79"/>
  <c r="F66" i="79"/>
  <c r="F65" i="79"/>
  <c r="F60" i="79"/>
  <c r="F56" i="79"/>
  <c r="F44" i="79"/>
  <c r="F39" i="79"/>
  <c r="F36" i="79"/>
  <c r="F24" i="79"/>
  <c r="F59" i="79"/>
  <c r="F55" i="79"/>
  <c r="F50" i="79"/>
  <c r="F47" i="79"/>
  <c r="F35" i="79"/>
  <c r="F31" i="79"/>
  <c r="F22" i="79"/>
  <c r="F63" i="79"/>
  <c r="F58" i="79"/>
  <c r="F41" i="79"/>
  <c r="F38" i="79"/>
  <c r="F34" i="79"/>
  <c r="F30" i="79"/>
  <c r="F52" i="79"/>
  <c r="F49" i="79"/>
  <c r="F33" i="79"/>
  <c r="F29" i="79"/>
  <c r="F16" i="79"/>
  <c r="F72" i="79"/>
  <c r="F43" i="79"/>
  <c r="F40" i="79"/>
  <c r="F28" i="79"/>
  <c r="F23" i="79"/>
  <c r="L12" i="79"/>
  <c r="F62" i="79"/>
  <c r="F54" i="79"/>
  <c r="F51" i="79"/>
  <c r="F46" i="79"/>
  <c r="F27" i="79"/>
  <c r="F20" i="79"/>
  <c r="F48" i="79"/>
  <c r="F61" i="79"/>
  <c r="X53" i="81"/>
  <c r="Z53" i="81" s="1"/>
  <c r="L16" i="88"/>
  <c r="R65" i="76"/>
  <c r="R48" i="76"/>
  <c r="R45" i="76"/>
  <c r="R28" i="76"/>
  <c r="P20" i="76"/>
  <c r="X12" i="76"/>
  <c r="R39" i="76"/>
  <c r="R36" i="76"/>
  <c r="R32" i="76"/>
  <c r="R27" i="76"/>
  <c r="R62" i="76"/>
  <c r="R50" i="76"/>
  <c r="R47" i="76"/>
  <c r="R26" i="76"/>
  <c r="R18" i="76"/>
  <c r="R68" i="76"/>
  <c r="R61" i="76"/>
  <c r="R57" i="76"/>
  <c r="R53" i="76"/>
  <c r="R41" i="76"/>
  <c r="R38" i="76"/>
  <c r="R25" i="76"/>
  <c r="R22" i="76"/>
  <c r="R17" i="76"/>
  <c r="R64" i="76"/>
  <c r="R60" i="76"/>
  <c r="R56" i="76"/>
  <c r="R52" i="76"/>
  <c r="R49" i="76"/>
  <c r="R44" i="76"/>
  <c r="R24" i="76"/>
  <c r="R59" i="76"/>
  <c r="R55" i="76"/>
  <c r="R43" i="76"/>
  <c r="R40" i="76"/>
  <c r="R35" i="76"/>
  <c r="R31" i="76"/>
  <c r="R16" i="76"/>
  <c r="V47" i="76"/>
  <c r="V39" i="76"/>
  <c r="V27" i="76"/>
  <c r="V74" i="76"/>
  <c r="V68" i="76"/>
  <c r="V62" i="76"/>
  <c r="V50" i="76"/>
  <c r="V38" i="76"/>
  <c r="V26" i="76"/>
  <c r="V22" i="76"/>
  <c r="V18" i="76"/>
  <c r="V61" i="76"/>
  <c r="V57" i="76"/>
  <c r="V53" i="76"/>
  <c r="V49" i="76"/>
  <c r="V41" i="76"/>
  <c r="V25" i="76"/>
  <c r="V17" i="76"/>
  <c r="V64" i="76"/>
  <c r="V60" i="76"/>
  <c r="V56" i="76"/>
  <c r="V52" i="76"/>
  <c r="V44" i="76"/>
  <c r="V40" i="76"/>
  <c r="V24" i="76"/>
  <c r="V16" i="76"/>
  <c r="V63" i="76"/>
  <c r="V59" i="76"/>
  <c r="V55" i="76"/>
  <c r="V51" i="76"/>
  <c r="V43" i="76"/>
  <c r="V35" i="76"/>
  <c r="V31" i="76"/>
  <c r="V23" i="76"/>
  <c r="V77" i="76"/>
  <c r="V72" i="76"/>
  <c r="V70" i="76"/>
  <c r="V66" i="76"/>
  <c r="V58" i="76"/>
  <c r="V54" i="76"/>
  <c r="V46" i="76"/>
  <c r="V42" i="76"/>
  <c r="V34" i="76"/>
  <c r="V30" i="76"/>
  <c r="V20" i="76"/>
  <c r="V32" i="76"/>
  <c r="F45" i="76"/>
  <c r="Z58" i="76"/>
  <c r="Z65" i="76"/>
  <c r="N20" i="77"/>
  <c r="N57" i="77"/>
  <c r="N93" i="77"/>
  <c r="T12" i="79"/>
  <c r="N39" i="79"/>
  <c r="L39" i="79"/>
  <c r="F57" i="79"/>
  <c r="R23" i="76"/>
  <c r="F25" i="76"/>
  <c r="R30" i="76"/>
  <c r="X42" i="76"/>
  <c r="Z42" i="76" s="1"/>
  <c r="R51" i="76"/>
  <c r="Z25" i="77"/>
  <c r="Z71" i="77"/>
  <c r="R23" i="78"/>
  <c r="X14" i="79"/>
  <c r="F37" i="79"/>
  <c r="Z62" i="79"/>
  <c r="X62" i="79"/>
  <c r="Z16" i="80"/>
  <c r="T32" i="80"/>
  <c r="R16" i="82"/>
  <c r="R24" i="82"/>
  <c r="R21" i="82"/>
  <c r="P16" i="82"/>
  <c r="R36" i="82"/>
  <c r="R30" i="82"/>
  <c r="R26" i="82"/>
  <c r="R23" i="82"/>
  <c r="R18" i="82"/>
  <c r="R14" i="82"/>
  <c r="R34" i="82"/>
  <c r="R28" i="82"/>
  <c r="R25" i="82"/>
  <c r="R20" i="82"/>
  <c r="X12" i="82"/>
  <c r="R39" i="82"/>
  <c r="R32" i="82"/>
  <c r="R27" i="82"/>
  <c r="R22" i="82"/>
  <c r="Z48" i="77"/>
  <c r="X63" i="77"/>
  <c r="Z63" i="77" s="1"/>
  <c r="L73" i="77"/>
  <c r="N73" i="77" s="1"/>
  <c r="Z54" i="79"/>
  <c r="X57" i="79"/>
  <c r="Z57" i="79" s="1"/>
  <c r="R16" i="78"/>
  <c r="J18" i="78"/>
  <c r="J26" i="78"/>
  <c r="J32" i="78"/>
  <c r="J70" i="79"/>
  <c r="J83" i="79"/>
  <c r="J77" i="79"/>
  <c r="J73" i="79"/>
  <c r="J69" i="79"/>
  <c r="J68" i="79"/>
  <c r="J81" i="79"/>
  <c r="J75" i="79"/>
  <c r="J67" i="79"/>
  <c r="J63" i="79"/>
  <c r="J72" i="79"/>
  <c r="J66" i="79"/>
  <c r="J86" i="79"/>
  <c r="J79" i="79"/>
  <c r="J65" i="79"/>
  <c r="R16" i="79"/>
  <c r="J18" i="79"/>
  <c r="J26" i="79"/>
  <c r="R31" i="79"/>
  <c r="J32" i="79"/>
  <c r="R35" i="79"/>
  <c r="J42" i="79"/>
  <c r="R47" i="79"/>
  <c r="J48" i="79"/>
  <c r="R52" i="79"/>
  <c r="R55" i="79"/>
  <c r="R59" i="79"/>
  <c r="N41" i="81"/>
  <c r="Z47" i="81"/>
  <c r="Z64" i="81"/>
  <c r="H71" i="81"/>
  <c r="L16" i="82"/>
  <c r="D32" i="82"/>
  <c r="Z19" i="82"/>
  <c r="N18" i="83"/>
  <c r="L22" i="84"/>
  <c r="N22" i="84" s="1"/>
  <c r="F36" i="98"/>
  <c r="F33" i="98"/>
  <c r="F29" i="98"/>
  <c r="F25" i="98"/>
  <c r="D18" i="98"/>
  <c r="F15" i="98"/>
  <c r="L12" i="98"/>
  <c r="F34" i="98"/>
  <c r="F31" i="98"/>
  <c r="F27" i="98"/>
  <c r="F21" i="98"/>
  <c r="F22" i="98"/>
  <c r="F20" i="98"/>
  <c r="F18" i="98"/>
  <c r="F24" i="98"/>
  <c r="F16" i="98"/>
  <c r="P12" i="77"/>
  <c r="H20" i="78"/>
  <c r="R24" i="78"/>
  <c r="R30" i="78"/>
  <c r="H20" i="79"/>
  <c r="R24" i="79"/>
  <c r="J27" i="79"/>
  <c r="R36" i="79"/>
  <c r="J37" i="79"/>
  <c r="R41" i="79"/>
  <c r="R44" i="79"/>
  <c r="J51" i="79"/>
  <c r="R56" i="79"/>
  <c r="J57" i="79"/>
  <c r="R60" i="79"/>
  <c r="R64" i="79"/>
  <c r="R69" i="79"/>
  <c r="R73" i="79"/>
  <c r="N18" i="80"/>
  <c r="N21" i="80"/>
  <c r="Z27" i="80"/>
  <c r="F29" i="81"/>
  <c r="F37" i="81"/>
  <c r="Z49" i="81"/>
  <c r="X49" i="81"/>
  <c r="F60" i="81"/>
  <c r="N30" i="82"/>
  <c r="L30" i="82"/>
  <c r="D62" i="97"/>
  <c r="L17" i="97"/>
  <c r="F17" i="97"/>
  <c r="N12" i="78"/>
  <c r="R17" i="78"/>
  <c r="J20" i="78"/>
  <c r="R22" i="78"/>
  <c r="N12" i="79"/>
  <c r="R17" i="79"/>
  <c r="J20" i="79"/>
  <c r="R22" i="79"/>
  <c r="R25" i="79"/>
  <c r="J28" i="79"/>
  <c r="J40" i="79"/>
  <c r="R45" i="79"/>
  <c r="J46" i="79"/>
  <c r="R50" i="79"/>
  <c r="R53" i="79"/>
  <c r="J54" i="79"/>
  <c r="R61" i="79"/>
  <c r="J62" i="79"/>
  <c r="J71" i="79"/>
  <c r="N72" i="79"/>
  <c r="R24" i="80"/>
  <c r="R21" i="80"/>
  <c r="P16" i="80"/>
  <c r="R36" i="80"/>
  <c r="R30" i="80"/>
  <c r="R26" i="80"/>
  <c r="R23" i="80"/>
  <c r="R18" i="80"/>
  <c r="R14" i="80"/>
  <c r="R34" i="80"/>
  <c r="R28" i="80"/>
  <c r="R25" i="80"/>
  <c r="R20" i="80"/>
  <c r="X12" i="80"/>
  <c r="R39" i="80"/>
  <c r="R32" i="80"/>
  <c r="X41" i="81"/>
  <c r="Z41" i="81" s="1"/>
  <c r="N60" i="81"/>
  <c r="F65" i="81"/>
  <c r="F32" i="83"/>
  <c r="F27" i="83"/>
  <c r="F24" i="83"/>
  <c r="F19" i="83"/>
  <c r="F42" i="83"/>
  <c r="F36" i="83"/>
  <c r="F23" i="83"/>
  <c r="F16" i="83"/>
  <c r="F40" i="83"/>
  <c r="F34" i="83"/>
  <c r="F29" i="83"/>
  <c r="F26" i="83"/>
  <c r="F22" i="83"/>
  <c r="D16" i="83"/>
  <c r="F21" i="83"/>
  <c r="F31" i="83"/>
  <c r="F28" i="83"/>
  <c r="F20" i="83"/>
  <c r="L12" i="83"/>
  <c r="F45" i="83"/>
  <c r="F38" i="83"/>
  <c r="F18" i="83"/>
  <c r="F14" i="83"/>
  <c r="Z14" i="83"/>
  <c r="X14" i="83"/>
  <c r="F25" i="83"/>
  <c r="F30" i="83"/>
  <c r="N24" i="84"/>
  <c r="L24" i="84"/>
  <c r="L16" i="77"/>
  <c r="N16" i="77" s="1"/>
  <c r="X20" i="77"/>
  <c r="Z20" i="77" s="1"/>
  <c r="L24" i="77"/>
  <c r="X28" i="77"/>
  <c r="L32" i="77"/>
  <c r="R18" i="78"/>
  <c r="R81" i="79"/>
  <c r="R75" i="79"/>
  <c r="R72" i="79"/>
  <c r="R66" i="79"/>
  <c r="R74" i="79"/>
  <c r="R65" i="79"/>
  <c r="R62" i="79"/>
  <c r="R71" i="79"/>
  <c r="R77" i="79"/>
  <c r="R70" i="79"/>
  <c r="R18" i="79"/>
  <c r="J23" i="79"/>
  <c r="R26" i="79"/>
  <c r="J29" i="79"/>
  <c r="J33" i="79"/>
  <c r="R39" i="79"/>
  <c r="R42" i="79"/>
  <c r="J43" i="79"/>
  <c r="J49" i="79"/>
  <c r="R67" i="79"/>
  <c r="X21" i="80"/>
  <c r="Z21" i="80" s="1"/>
  <c r="L19" i="81"/>
  <c r="N19" i="81" s="1"/>
  <c r="Z16" i="82"/>
  <c r="T32" i="82"/>
  <c r="Z27" i="82"/>
  <c r="X18" i="83"/>
  <c r="Z18" i="83" s="1"/>
  <c r="F29" i="84"/>
  <c r="F24" i="84"/>
  <c r="F41" i="84"/>
  <c r="F34" i="84"/>
  <c r="F26" i="84"/>
  <c r="F23" i="84"/>
  <c r="F28" i="84"/>
  <c r="F25" i="84"/>
  <c r="F22" i="84"/>
  <c r="F27" i="84"/>
  <c r="F21" i="84"/>
  <c r="F36" i="84"/>
  <c r="F20" i="84"/>
  <c r="F30" i="84"/>
  <c r="F17" i="84"/>
  <c r="D17" i="84"/>
  <c r="F38" i="84"/>
  <c r="F32" i="84"/>
  <c r="F19" i="84"/>
  <c r="L37" i="85"/>
  <c r="N37" i="85" s="1"/>
  <c r="F37" i="85"/>
  <c r="L23" i="76"/>
  <c r="X49" i="76"/>
  <c r="L51" i="76"/>
  <c r="L63" i="76"/>
  <c r="N63" i="76" s="1"/>
  <c r="J16" i="78"/>
  <c r="R26" i="78"/>
  <c r="J28" i="78"/>
  <c r="J16" i="79"/>
  <c r="R27" i="79"/>
  <c r="J30" i="79"/>
  <c r="R32" i="79"/>
  <c r="J34" i="79"/>
  <c r="J38" i="79"/>
  <c r="R48" i="79"/>
  <c r="R51" i="79"/>
  <c r="J52" i="79"/>
  <c r="J58" i="79"/>
  <c r="X72" i="79"/>
  <c r="Z72" i="79" s="1"/>
  <c r="L16" i="80"/>
  <c r="D32" i="80"/>
  <c r="N23" i="80"/>
  <c r="L23" i="80"/>
  <c r="F78" i="81"/>
  <c r="F71" i="81"/>
  <c r="F56" i="81"/>
  <c r="F52" i="81"/>
  <c r="F48" i="81"/>
  <c r="F43" i="81"/>
  <c r="F40" i="81"/>
  <c r="F24" i="81"/>
  <c r="F19" i="81"/>
  <c r="F68" i="81"/>
  <c r="F62" i="81"/>
  <c r="F59" i="81"/>
  <c r="F55" i="81"/>
  <c r="F51" i="81"/>
  <c r="F34" i="81"/>
  <c r="F23" i="81"/>
  <c r="F16" i="81"/>
  <c r="F58" i="81"/>
  <c r="F54" i="81"/>
  <c r="F50" i="81"/>
  <c r="F45" i="81"/>
  <c r="F42" i="81"/>
  <c r="F22" i="81"/>
  <c r="D16" i="81"/>
  <c r="F64" i="81"/>
  <c r="F61" i="81"/>
  <c r="F36" i="81"/>
  <c r="F33" i="81"/>
  <c r="F28" i="81"/>
  <c r="F21" i="81"/>
  <c r="F75" i="81"/>
  <c r="F69" i="81"/>
  <c r="F47" i="81"/>
  <c r="F44" i="81"/>
  <c r="F39" i="81"/>
  <c r="F32" i="81"/>
  <c r="F20" i="81"/>
  <c r="L12" i="81"/>
  <c r="F73" i="81"/>
  <c r="F63" i="81"/>
  <c r="F35" i="81"/>
  <c r="F31" i="81"/>
  <c r="F27" i="81"/>
  <c r="F18" i="81"/>
  <c r="F14" i="81"/>
  <c r="F67" i="81"/>
  <c r="F57" i="81"/>
  <c r="F53" i="81"/>
  <c r="F49" i="81"/>
  <c r="F46" i="81"/>
  <c r="F41" i="81"/>
  <c r="F38" i="81"/>
  <c r="F30" i="81"/>
  <c r="F26" i="81"/>
  <c r="P71" i="81"/>
  <c r="N18" i="81"/>
  <c r="N43" i="81"/>
  <c r="L43" i="81"/>
  <c r="N53" i="81"/>
  <c r="X57" i="81"/>
  <c r="Z57" i="81" s="1"/>
  <c r="H12" i="84"/>
  <c r="N13" i="84"/>
  <c r="L13" i="84"/>
  <c r="R73" i="85"/>
  <c r="R57" i="85"/>
  <c r="R40" i="85"/>
  <c r="R37" i="85"/>
  <c r="R28" i="85"/>
  <c r="P20" i="85"/>
  <c r="X12" i="85"/>
  <c r="Z12" i="85" s="1"/>
  <c r="R81" i="85"/>
  <c r="R64" i="85"/>
  <c r="R51" i="85"/>
  <c r="R48" i="85"/>
  <c r="R32" i="85"/>
  <c r="R27" i="85"/>
  <c r="R70" i="85"/>
  <c r="R42" i="85"/>
  <c r="R39" i="85"/>
  <c r="R26" i="85"/>
  <c r="R69" i="85"/>
  <c r="R61" i="85"/>
  <c r="R53" i="85"/>
  <c r="R50" i="85"/>
  <c r="R45" i="85"/>
  <c r="R25" i="85"/>
  <c r="R22" i="85"/>
  <c r="R17" i="85"/>
  <c r="R72" i="85"/>
  <c r="R68" i="85"/>
  <c r="R60" i="85"/>
  <c r="R56" i="85"/>
  <c r="R44" i="85"/>
  <c r="R41" i="85"/>
  <c r="R36" i="85"/>
  <c r="R24" i="85"/>
  <c r="R67" i="85"/>
  <c r="R63" i="85"/>
  <c r="R59" i="85"/>
  <c r="R55" i="85"/>
  <c r="R52" i="85"/>
  <c r="R47" i="85"/>
  <c r="R35" i="85"/>
  <c r="R31" i="85"/>
  <c r="R16" i="85"/>
  <c r="R77" i="85"/>
  <c r="R66" i="85"/>
  <c r="R62" i="85"/>
  <c r="R58" i="85"/>
  <c r="R46" i="85"/>
  <c r="R20" i="85"/>
  <c r="R43" i="85"/>
  <c r="R33" i="85"/>
  <c r="R23" i="85"/>
  <c r="R29" i="85"/>
  <c r="R34" i="85"/>
  <c r="R30" i="85"/>
  <c r="R74" i="85"/>
  <c r="R71" i="85"/>
  <c r="R18" i="85"/>
  <c r="R54" i="85"/>
  <c r="R38" i="85"/>
  <c r="R49" i="85"/>
  <c r="X12" i="79"/>
  <c r="P20" i="79"/>
  <c r="R28" i="79"/>
  <c r="J31" i="79"/>
  <c r="J35" i="79"/>
  <c r="R37" i="79"/>
  <c r="R40" i="79"/>
  <c r="J41" i="79"/>
  <c r="J47" i="79"/>
  <c r="J55" i="79"/>
  <c r="R57" i="79"/>
  <c r="J59" i="79"/>
  <c r="J64" i="79"/>
  <c r="L74" i="79"/>
  <c r="N74" i="79" s="1"/>
  <c r="N16" i="80"/>
  <c r="H32" i="80"/>
  <c r="P42" i="83"/>
  <c r="N36" i="86"/>
  <c r="L36" i="86"/>
  <c r="V57" i="81"/>
  <c r="R58" i="81"/>
  <c r="V61" i="81"/>
  <c r="J65" i="81"/>
  <c r="V67" i="81"/>
  <c r="R69" i="81"/>
  <c r="J71" i="81"/>
  <c r="R75" i="81"/>
  <c r="J78" i="81"/>
  <c r="V16" i="82"/>
  <c r="V22" i="82"/>
  <c r="J30" i="83"/>
  <c r="Z57" i="85"/>
  <c r="F27" i="87"/>
  <c r="F21" i="87"/>
  <c r="F17" i="87"/>
  <c r="F25" i="87"/>
  <c r="D17" i="87"/>
  <c r="F19" i="87"/>
  <c r="X19" i="89"/>
  <c r="Z19" i="89"/>
  <c r="N14" i="80"/>
  <c r="V16" i="80"/>
  <c r="V22" i="80"/>
  <c r="J26" i="80"/>
  <c r="J30" i="80"/>
  <c r="J36" i="80"/>
  <c r="V22" i="81"/>
  <c r="R23" i="81"/>
  <c r="J26" i="81"/>
  <c r="R28" i="81"/>
  <c r="J30" i="81"/>
  <c r="R36" i="81"/>
  <c r="J38" i="81"/>
  <c r="V42" i="81"/>
  <c r="J46" i="81"/>
  <c r="V50" i="81"/>
  <c r="R51" i="81"/>
  <c r="V54" i="81"/>
  <c r="R55" i="81"/>
  <c r="V58" i="81"/>
  <c r="R59" i="81"/>
  <c r="J60" i="81"/>
  <c r="R64" i="81"/>
  <c r="V19" i="82"/>
  <c r="J21" i="82"/>
  <c r="F24" i="82"/>
  <c r="F27" i="82"/>
  <c r="V27" i="82"/>
  <c r="V23" i="83"/>
  <c r="J25" i="83"/>
  <c r="R29" i="83"/>
  <c r="V31" i="83"/>
  <c r="R32" i="83"/>
  <c r="J33" i="83"/>
  <c r="R38" i="84"/>
  <c r="R32" i="84"/>
  <c r="R25" i="84"/>
  <c r="R22" i="84"/>
  <c r="R27" i="84"/>
  <c r="R24" i="84"/>
  <c r="R36" i="84"/>
  <c r="R30" i="84"/>
  <c r="R41" i="84"/>
  <c r="R34" i="84"/>
  <c r="R29" i="84"/>
  <c r="R26" i="84"/>
  <c r="R21" i="84"/>
  <c r="R17" i="84"/>
  <c r="R20" i="84"/>
  <c r="R23" i="84"/>
  <c r="F42" i="85"/>
  <c r="Z54" i="85"/>
  <c r="V57" i="85"/>
  <c r="F73" i="85"/>
  <c r="Z38" i="86"/>
  <c r="R60" i="86"/>
  <c r="H12" i="87"/>
  <c r="N16" i="88"/>
  <c r="R48" i="90"/>
  <c r="R42" i="90"/>
  <c r="R39" i="90"/>
  <c r="R34" i="90"/>
  <c r="R31" i="90"/>
  <c r="R26" i="90"/>
  <c r="P18" i="90"/>
  <c r="R25" i="90"/>
  <c r="R23" i="90"/>
  <c r="R20" i="90"/>
  <c r="R38" i="90"/>
  <c r="R35" i="90"/>
  <c r="R30" i="90"/>
  <c r="R27" i="90"/>
  <c r="R22" i="90"/>
  <c r="R15" i="90"/>
  <c r="R29" i="90"/>
  <c r="R28" i="90"/>
  <c r="R16" i="90"/>
  <c r="R33" i="90"/>
  <c r="R44" i="90"/>
  <c r="R32" i="90"/>
  <c r="R24" i="90"/>
  <c r="R36" i="90"/>
  <c r="X12" i="90"/>
  <c r="R41" i="90"/>
  <c r="R37" i="90"/>
  <c r="R21" i="90"/>
  <c r="R40" i="90"/>
  <c r="F19" i="80"/>
  <c r="V19" i="80"/>
  <c r="J21" i="80"/>
  <c r="F24" i="80"/>
  <c r="F27" i="80"/>
  <c r="V27" i="80"/>
  <c r="X14" i="81"/>
  <c r="V23" i="81"/>
  <c r="R24" i="81"/>
  <c r="J27" i="81"/>
  <c r="J31" i="81"/>
  <c r="J35" i="81"/>
  <c r="V39" i="81"/>
  <c r="R40" i="81"/>
  <c r="J41" i="81"/>
  <c r="R45" i="81"/>
  <c r="V47" i="81"/>
  <c r="R48" i="81"/>
  <c r="J49" i="81"/>
  <c r="V51" i="81"/>
  <c r="R52" i="81"/>
  <c r="J53" i="81"/>
  <c r="V55" i="81"/>
  <c r="R56" i="81"/>
  <c r="J57" i="81"/>
  <c r="V59" i="81"/>
  <c r="J63" i="81"/>
  <c r="J67" i="81"/>
  <c r="V69" i="81"/>
  <c r="J73" i="81"/>
  <c r="V75" i="81"/>
  <c r="Z12" i="82"/>
  <c r="J16" i="82"/>
  <c r="V20" i="82"/>
  <c r="J24" i="82"/>
  <c r="V28" i="82"/>
  <c r="F32" i="82"/>
  <c r="V32" i="82"/>
  <c r="V34" i="82"/>
  <c r="F39" i="82"/>
  <c r="V39" i="82"/>
  <c r="N12" i="83"/>
  <c r="J14" i="83"/>
  <c r="J18" i="83"/>
  <c r="J20" i="83"/>
  <c r="V24" i="83"/>
  <c r="J28" i="83"/>
  <c r="V32" i="83"/>
  <c r="R36" i="83"/>
  <c r="J38" i="83"/>
  <c r="R42" i="83"/>
  <c r="J45" i="83"/>
  <c r="V24" i="84"/>
  <c r="V36" i="84"/>
  <c r="V30" i="84"/>
  <c r="V26" i="84"/>
  <c r="V29" i="84"/>
  <c r="V28" i="84"/>
  <c r="V20" i="84"/>
  <c r="T17" i="84"/>
  <c r="Z20" i="84"/>
  <c r="Z22" i="84"/>
  <c r="V23" i="84"/>
  <c r="Z26" i="84"/>
  <c r="R28" i="84"/>
  <c r="P34" i="84"/>
  <c r="N16" i="85"/>
  <c r="F26" i="85"/>
  <c r="V48" i="85"/>
  <c r="V64" i="85"/>
  <c r="F69" i="85"/>
  <c r="R73" i="86"/>
  <c r="R66" i="86"/>
  <c r="R54" i="86"/>
  <c r="R49" i="86"/>
  <c r="R37" i="86"/>
  <c r="R34" i="86"/>
  <c r="R25" i="86"/>
  <c r="P17" i="86"/>
  <c r="R63" i="86"/>
  <c r="R48" i="86"/>
  <c r="R45" i="86"/>
  <c r="R40" i="86"/>
  <c r="R29" i="86"/>
  <c r="R24" i="86"/>
  <c r="R59" i="86"/>
  <c r="R51" i="86"/>
  <c r="R39" i="86"/>
  <c r="R36" i="86"/>
  <c r="R23" i="86"/>
  <c r="R15" i="86"/>
  <c r="R58" i="86"/>
  <c r="R47" i="86"/>
  <c r="R42" i="86"/>
  <c r="R22" i="86"/>
  <c r="R19" i="86"/>
  <c r="R70" i="86"/>
  <c r="R64" i="86"/>
  <c r="R61" i="86"/>
  <c r="R57" i="86"/>
  <c r="R53" i="86"/>
  <c r="R50" i="86"/>
  <c r="R38" i="86"/>
  <c r="R33" i="86"/>
  <c r="R21" i="86"/>
  <c r="R14" i="86"/>
  <c r="R56" i="86"/>
  <c r="R44" i="86"/>
  <c r="R41" i="86"/>
  <c r="R32" i="86"/>
  <c r="R28" i="86"/>
  <c r="X12" i="86"/>
  <c r="L17" i="86"/>
  <c r="R35" i="86"/>
  <c r="V49" i="86"/>
  <c r="R55" i="86"/>
  <c r="V63" i="86"/>
  <c r="V68" i="86"/>
  <c r="L13" i="87"/>
  <c r="N13" i="87" s="1"/>
  <c r="T32" i="88"/>
  <c r="Z16" i="88"/>
  <c r="T12" i="90"/>
  <c r="Z13" i="90"/>
  <c r="X13" i="90"/>
  <c r="Z12" i="80"/>
  <c r="J16" i="80"/>
  <c r="V20" i="80"/>
  <c r="J24" i="80"/>
  <c r="V28" i="80"/>
  <c r="F32" i="80"/>
  <c r="V32" i="80"/>
  <c r="V34" i="80"/>
  <c r="F39" i="80"/>
  <c r="V39" i="80"/>
  <c r="N12" i="81"/>
  <c r="J14" i="81"/>
  <c r="R16" i="81"/>
  <c r="J18" i="81"/>
  <c r="J20" i="81"/>
  <c r="V24" i="81"/>
  <c r="R25" i="81"/>
  <c r="V28" i="81"/>
  <c r="R29" i="81"/>
  <c r="J32" i="81"/>
  <c r="R34" i="81"/>
  <c r="V36" i="81"/>
  <c r="R37" i="81"/>
  <c r="V40" i="81"/>
  <c r="J44" i="81"/>
  <c r="V48" i="81"/>
  <c r="V52" i="81"/>
  <c r="V56" i="81"/>
  <c r="R62" i="81"/>
  <c r="V64" i="81"/>
  <c r="R65" i="81"/>
  <c r="R68" i="81"/>
  <c r="J19" i="82"/>
  <c r="F22" i="82"/>
  <c r="F25" i="82"/>
  <c r="V25" i="82"/>
  <c r="J27" i="82"/>
  <c r="H32" i="82"/>
  <c r="T16" i="83"/>
  <c r="R19" i="83"/>
  <c r="J21" i="83"/>
  <c r="R27" i="83"/>
  <c r="V29" i="83"/>
  <c r="R30" i="83"/>
  <c r="J31" i="83"/>
  <c r="X12" i="84"/>
  <c r="Z12" i="84" s="1"/>
  <c r="V17" i="84"/>
  <c r="V22" i="84"/>
  <c r="Z28" i="84"/>
  <c r="V17" i="85"/>
  <c r="F25" i="85"/>
  <c r="L32" i="85"/>
  <c r="N32" i="85" s="1"/>
  <c r="Z37" i="85"/>
  <c r="F45" i="85"/>
  <c r="F61" i="85"/>
  <c r="N62" i="85"/>
  <c r="X73" i="85"/>
  <c r="Z73" i="85" s="1"/>
  <c r="V48" i="86"/>
  <c r="V40" i="86"/>
  <c r="V36" i="86"/>
  <c r="V24" i="86"/>
  <c r="V59" i="86"/>
  <c r="V51" i="86"/>
  <c r="V47" i="86"/>
  <c r="V39" i="86"/>
  <c r="V23" i="86"/>
  <c r="V19" i="86"/>
  <c r="V15" i="86"/>
  <c r="V70" i="86"/>
  <c r="V64" i="86"/>
  <c r="V58" i="86"/>
  <c r="V50" i="86"/>
  <c r="V42" i="86"/>
  <c r="V38" i="86"/>
  <c r="V22" i="86"/>
  <c r="V14" i="86"/>
  <c r="V61" i="86"/>
  <c r="V57" i="86"/>
  <c r="V53" i="86"/>
  <c r="V41" i="86"/>
  <c r="V33" i="86"/>
  <c r="V21" i="86"/>
  <c r="V60" i="86"/>
  <c r="V56" i="86"/>
  <c r="V52" i="86"/>
  <c r="V44" i="86"/>
  <c r="V32" i="86"/>
  <c r="V28" i="86"/>
  <c r="V20" i="86"/>
  <c r="Z12" i="86"/>
  <c r="V55" i="86"/>
  <c r="V43" i="86"/>
  <c r="V35" i="86"/>
  <c r="V31" i="86"/>
  <c r="V27" i="86"/>
  <c r="V17" i="86"/>
  <c r="R17" i="86"/>
  <c r="R30" i="86"/>
  <c r="D66" i="86"/>
  <c r="R25" i="87"/>
  <c r="R30" i="87"/>
  <c r="R23" i="87"/>
  <c r="R19" i="87"/>
  <c r="R15" i="87"/>
  <c r="R27" i="87"/>
  <c r="R21" i="87"/>
  <c r="R17" i="87"/>
  <c r="F23" i="87"/>
  <c r="Z16" i="89"/>
  <c r="T30" i="89"/>
  <c r="L24" i="92"/>
  <c r="N24" i="92" s="1"/>
  <c r="J19" i="80"/>
  <c r="F22" i="80"/>
  <c r="F25" i="80"/>
  <c r="V25" i="80"/>
  <c r="J27" i="80"/>
  <c r="T16" i="81"/>
  <c r="R19" i="81"/>
  <c r="J21" i="81"/>
  <c r="V25" i="81"/>
  <c r="R26" i="81"/>
  <c r="V29" i="81"/>
  <c r="R30" i="81"/>
  <c r="J33" i="81"/>
  <c r="V37" i="81"/>
  <c r="R38" i="81"/>
  <c r="J39" i="81"/>
  <c r="R43" i="81"/>
  <c r="V45" i="81"/>
  <c r="R46" i="81"/>
  <c r="J47" i="81"/>
  <c r="J61" i="81"/>
  <c r="V65" i="81"/>
  <c r="J69" i="81"/>
  <c r="R71" i="81"/>
  <c r="J75" i="81"/>
  <c r="R78" i="81"/>
  <c r="V14" i="82"/>
  <c r="V18" i="82"/>
  <c r="J22" i="82"/>
  <c r="V26" i="82"/>
  <c r="J32" i="82"/>
  <c r="J39" i="82"/>
  <c r="V16" i="83"/>
  <c r="J22" i="83"/>
  <c r="J26" i="83"/>
  <c r="V30" i="83"/>
  <c r="J34" i="83"/>
  <c r="V36" i="83"/>
  <c r="J40" i="83"/>
  <c r="V42" i="83"/>
  <c r="D20" i="85"/>
  <c r="F20" i="85" s="1"/>
  <c r="V29" i="85"/>
  <c r="F32" i="85"/>
  <c r="V37" i="85"/>
  <c r="X77" i="85"/>
  <c r="P76" i="85"/>
  <c r="X76" i="85" s="1"/>
  <c r="V25" i="86"/>
  <c r="V30" i="86"/>
  <c r="X34" i="86"/>
  <c r="X43" i="86"/>
  <c r="Z43" i="86" s="1"/>
  <c r="L45" i="86"/>
  <c r="X54" i="86"/>
  <c r="F30" i="87"/>
  <c r="N18" i="88"/>
  <c r="L30" i="88"/>
  <c r="D29" i="88"/>
  <c r="D32" i="88" s="1"/>
  <c r="X19" i="91"/>
  <c r="Z19" i="91" s="1"/>
  <c r="F14" i="80"/>
  <c r="V14" i="80"/>
  <c r="F18" i="80"/>
  <c r="V18" i="80"/>
  <c r="J22" i="80"/>
  <c r="V26" i="80"/>
  <c r="J32" i="80"/>
  <c r="J39" i="80"/>
  <c r="N14" i="81"/>
  <c r="V16" i="81"/>
  <c r="J22" i="81"/>
  <c r="V26" i="81"/>
  <c r="R27" i="81"/>
  <c r="J28" i="81"/>
  <c r="V30" i="81"/>
  <c r="R31" i="81"/>
  <c r="V34" i="81"/>
  <c r="R35" i="81"/>
  <c r="J36" i="81"/>
  <c r="V38" i="81"/>
  <c r="J42" i="81"/>
  <c r="V46" i="81"/>
  <c r="J50" i="81"/>
  <c r="J54" i="81"/>
  <c r="J58" i="81"/>
  <c r="R60" i="81"/>
  <c r="V62" i="81"/>
  <c r="R63" i="81"/>
  <c r="J64" i="81"/>
  <c r="V68" i="81"/>
  <c r="R73" i="81"/>
  <c r="L12" i="82"/>
  <c r="F20" i="82"/>
  <c r="F23" i="82"/>
  <c r="V23" i="82"/>
  <c r="J25" i="82"/>
  <c r="F28" i="82"/>
  <c r="F34" i="82"/>
  <c r="X12" i="83"/>
  <c r="H16" i="83"/>
  <c r="V19" i="83"/>
  <c r="R20" i="83"/>
  <c r="J23" i="83"/>
  <c r="R25" i="83"/>
  <c r="V27" i="83"/>
  <c r="R28" i="83"/>
  <c r="J29" i="83"/>
  <c r="R33" i="83"/>
  <c r="R15" i="84"/>
  <c r="R19" i="84"/>
  <c r="V32" i="84"/>
  <c r="V33" i="85"/>
  <c r="N39" i="85"/>
  <c r="V40" i="85"/>
  <c r="L48" i="85"/>
  <c r="N50" i="85"/>
  <c r="L64" i="85"/>
  <c r="N64" i="85" s="1"/>
  <c r="Z29" i="86"/>
  <c r="R43" i="86"/>
  <c r="L63" i="86"/>
  <c r="R34" i="88"/>
  <c r="R39" i="88"/>
  <c r="R32" i="88"/>
  <c r="P16" i="88"/>
  <c r="R27" i="88"/>
  <c r="R24" i="88"/>
  <c r="R29" i="88"/>
  <c r="R36" i="88"/>
  <c r="R26" i="88"/>
  <c r="R21" i="88"/>
  <c r="R18" i="88"/>
  <c r="R14" i="88"/>
  <c r="R30" i="88"/>
  <c r="R20" i="88"/>
  <c r="X12" i="88"/>
  <c r="R23" i="88"/>
  <c r="R22" i="88"/>
  <c r="N30" i="88"/>
  <c r="H29" i="88"/>
  <c r="N29" i="88" s="1"/>
  <c r="L17" i="92"/>
  <c r="N17" i="92" s="1"/>
  <c r="F23" i="80"/>
  <c r="F28" i="80"/>
  <c r="V19" i="81"/>
  <c r="R20" i="81"/>
  <c r="J23" i="81"/>
  <c r="V27" i="81"/>
  <c r="V31" i="81"/>
  <c r="R32" i="81"/>
  <c r="V35" i="81"/>
  <c r="R41" i="81"/>
  <c r="V43" i="81"/>
  <c r="R44" i="81"/>
  <c r="J45" i="81"/>
  <c r="R49" i="81"/>
  <c r="J51" i="81"/>
  <c r="R53" i="81"/>
  <c r="J55" i="81"/>
  <c r="R57" i="81"/>
  <c r="V63" i="81"/>
  <c r="V71" i="81"/>
  <c r="V73" i="81"/>
  <c r="J14" i="82"/>
  <c r="J18" i="82"/>
  <c r="J20" i="82"/>
  <c r="V24" i="82"/>
  <c r="J28" i="82"/>
  <c r="F30" i="82"/>
  <c r="V30" i="82"/>
  <c r="Z12" i="83"/>
  <c r="J16" i="83"/>
  <c r="V20" i="83"/>
  <c r="J24" i="83"/>
  <c r="J32" i="83"/>
  <c r="J36" i="83"/>
  <c r="R38" i="83"/>
  <c r="F72" i="85"/>
  <c r="F68" i="85"/>
  <c r="F60" i="85"/>
  <c r="F56" i="85"/>
  <c r="F44" i="85"/>
  <c r="F39" i="85"/>
  <c r="F36" i="85"/>
  <c r="F24" i="85"/>
  <c r="F76" i="85"/>
  <c r="F67" i="85"/>
  <c r="F63" i="85"/>
  <c r="F59" i="85"/>
  <c r="F55" i="85"/>
  <c r="F50" i="85"/>
  <c r="F47" i="85"/>
  <c r="F35" i="85"/>
  <c r="F31" i="85"/>
  <c r="F22" i="85"/>
  <c r="F74" i="85"/>
  <c r="F66" i="85"/>
  <c r="F58" i="85"/>
  <c r="F41" i="85"/>
  <c r="F38" i="85"/>
  <c r="F34" i="85"/>
  <c r="F30" i="85"/>
  <c r="F65" i="85"/>
  <c r="F52" i="85"/>
  <c r="F49" i="85"/>
  <c r="F33" i="85"/>
  <c r="F29" i="85"/>
  <c r="F16" i="85"/>
  <c r="F77" i="85"/>
  <c r="F71" i="85"/>
  <c r="F43" i="85"/>
  <c r="F40" i="85"/>
  <c r="F28" i="85"/>
  <c r="F23" i="85"/>
  <c r="F81" i="85"/>
  <c r="F62" i="85"/>
  <c r="F54" i="85"/>
  <c r="F51" i="85"/>
  <c r="F46" i="85"/>
  <c r="F27" i="85"/>
  <c r="V81" i="85"/>
  <c r="V51" i="85"/>
  <c r="V39" i="85"/>
  <c r="V27" i="85"/>
  <c r="V76" i="85"/>
  <c r="V70" i="85"/>
  <c r="V50" i="85"/>
  <c r="V42" i="85"/>
  <c r="V26" i="85"/>
  <c r="V22" i="85"/>
  <c r="V18" i="85"/>
  <c r="V69" i="85"/>
  <c r="V61" i="85"/>
  <c r="V53" i="85"/>
  <c r="V45" i="85"/>
  <c r="V41" i="85"/>
  <c r="V25" i="85"/>
  <c r="V72" i="85"/>
  <c r="V68" i="85"/>
  <c r="V60" i="85"/>
  <c r="V56" i="85"/>
  <c r="V52" i="85"/>
  <c r="V44" i="85"/>
  <c r="V36" i="85"/>
  <c r="V24" i="85"/>
  <c r="V16" i="85"/>
  <c r="V77" i="85"/>
  <c r="V71" i="85"/>
  <c r="V67" i="85"/>
  <c r="V63" i="85"/>
  <c r="V59" i="85"/>
  <c r="V55" i="85"/>
  <c r="V47" i="85"/>
  <c r="V43" i="85"/>
  <c r="V35" i="85"/>
  <c r="V31" i="85"/>
  <c r="V23" i="85"/>
  <c r="V74" i="85"/>
  <c r="V66" i="85"/>
  <c r="V62" i="85"/>
  <c r="V58" i="85"/>
  <c r="V54" i="85"/>
  <c r="V46" i="85"/>
  <c r="V38" i="85"/>
  <c r="V34" i="85"/>
  <c r="V30" i="85"/>
  <c r="V20" i="85"/>
  <c r="Z14" i="85"/>
  <c r="T20" i="85"/>
  <c r="V28" i="85"/>
  <c r="Z46" i="85"/>
  <c r="F48" i="85"/>
  <c r="Z62" i="85"/>
  <c r="F64" i="85"/>
  <c r="N19" i="86"/>
  <c r="V34" i="86"/>
  <c r="R46" i="86"/>
  <c r="R52" i="86"/>
  <c r="V54" i="86"/>
  <c r="V66" i="86"/>
  <c r="L15" i="87"/>
  <c r="P23" i="87"/>
  <c r="P12" i="92"/>
  <c r="Z13" i="92"/>
  <c r="H12" i="85"/>
  <c r="L12" i="85" s="1"/>
  <c r="J15" i="86"/>
  <c r="F17" i="86"/>
  <c r="J23" i="86"/>
  <c r="F24" i="86"/>
  <c r="J29" i="86"/>
  <c r="J39" i="86"/>
  <c r="F40" i="86"/>
  <c r="F43" i="86"/>
  <c r="J45" i="86"/>
  <c r="F48" i="86"/>
  <c r="J51" i="86"/>
  <c r="J59" i="86"/>
  <c r="J63" i="86"/>
  <c r="V39" i="88"/>
  <c r="V34" i="88"/>
  <c r="V32" i="88"/>
  <c r="V29" i="88"/>
  <c r="V36" i="88"/>
  <c r="V30" i="88"/>
  <c r="N14" i="88"/>
  <c r="F16" i="88"/>
  <c r="V16" i="88"/>
  <c r="F22" i="88"/>
  <c r="V22" i="88"/>
  <c r="J24" i="88"/>
  <c r="F27" i="88"/>
  <c r="J29" i="88"/>
  <c r="R34" i="89"/>
  <c r="R28" i="89"/>
  <c r="R16" i="89"/>
  <c r="R24" i="89"/>
  <c r="R21" i="89"/>
  <c r="P16" i="89"/>
  <c r="R37" i="89"/>
  <c r="R30" i="89"/>
  <c r="R18" i="89"/>
  <c r="R14" i="89"/>
  <c r="F21" i="89"/>
  <c r="V25" i="89"/>
  <c r="F28" i="89"/>
  <c r="R32" i="89"/>
  <c r="D46" i="90"/>
  <c r="Z58" i="95"/>
  <c r="X58" i="95"/>
  <c r="H17" i="86"/>
  <c r="F20" i="86"/>
  <c r="J24" i="86"/>
  <c r="F25" i="86"/>
  <c r="J34" i="86"/>
  <c r="F37" i="86"/>
  <c r="J40" i="86"/>
  <c r="J48" i="86"/>
  <c r="F49" i="86"/>
  <c r="F52" i="86"/>
  <c r="J54" i="86"/>
  <c r="F60" i="86"/>
  <c r="J66" i="86"/>
  <c r="J73" i="86"/>
  <c r="T12" i="87"/>
  <c r="F19" i="88"/>
  <c r="V24" i="89"/>
  <c r="V23" i="89"/>
  <c r="V37" i="89"/>
  <c r="V32" i="89"/>
  <c r="V30" i="89"/>
  <c r="V26" i="89"/>
  <c r="V18" i="89"/>
  <c r="V14" i="89"/>
  <c r="V20" i="89"/>
  <c r="Z12" i="89"/>
  <c r="D16" i="89"/>
  <c r="F19" i="89"/>
  <c r="X20" i="90"/>
  <c r="F53" i="91"/>
  <c r="F46" i="91"/>
  <c r="F35" i="91"/>
  <c r="F30" i="91"/>
  <c r="F27" i="91"/>
  <c r="F41" i="91"/>
  <c r="F38" i="91"/>
  <c r="F26" i="91"/>
  <c r="F37" i="91"/>
  <c r="F32" i="91"/>
  <c r="F29" i="91"/>
  <c r="F25" i="91"/>
  <c r="F40" i="91"/>
  <c r="F24" i="91"/>
  <c r="F50" i="91"/>
  <c r="F44" i="91"/>
  <c r="F34" i="91"/>
  <c r="F31" i="91"/>
  <c r="F48" i="91"/>
  <c r="F42" i="91"/>
  <c r="F36" i="91"/>
  <c r="L12" i="91"/>
  <c r="F18" i="91"/>
  <c r="F14" i="91"/>
  <c r="F33" i="91"/>
  <c r="F28" i="91"/>
  <c r="F22" i="91"/>
  <c r="F19" i="91"/>
  <c r="T16" i="91"/>
  <c r="F20" i="91"/>
  <c r="F23" i="91"/>
  <c r="J17" i="86"/>
  <c r="J25" i="86"/>
  <c r="F26" i="86"/>
  <c r="F30" i="86"/>
  <c r="J37" i="86"/>
  <c r="F41" i="86"/>
  <c r="J43" i="86"/>
  <c r="F46" i="86"/>
  <c r="J49" i="86"/>
  <c r="F68" i="86"/>
  <c r="F25" i="88"/>
  <c r="Z30" i="88"/>
  <c r="T29" i="88"/>
  <c r="Z29" i="88" s="1"/>
  <c r="F25" i="89"/>
  <c r="F26" i="89"/>
  <c r="Z20" i="90"/>
  <c r="J68" i="92"/>
  <c r="J50" i="92"/>
  <c r="J42" i="92"/>
  <c r="J34" i="92"/>
  <c r="J28" i="92"/>
  <c r="H21" i="92"/>
  <c r="J21" i="92" s="1"/>
  <c r="J67" i="92"/>
  <c r="J55" i="92"/>
  <c r="J47" i="92"/>
  <c r="J39" i="92"/>
  <c r="J27" i="92"/>
  <c r="J19" i="92"/>
  <c r="J72" i="92"/>
  <c r="J66" i="92"/>
  <c r="J62" i="92"/>
  <c r="J58" i="92"/>
  <c r="J52" i="92"/>
  <c r="J44" i="92"/>
  <c r="J38" i="92"/>
  <c r="J26" i="92"/>
  <c r="J18" i="92"/>
  <c r="J65" i="92"/>
  <c r="J61" i="92"/>
  <c r="J57" i="92"/>
  <c r="J49" i="92"/>
  <c r="J41" i="92"/>
  <c r="J37" i="92"/>
  <c r="J33" i="92"/>
  <c r="J25" i="92"/>
  <c r="J23" i="92"/>
  <c r="J64" i="92"/>
  <c r="J60" i="92"/>
  <c r="J54" i="92"/>
  <c r="J46" i="92"/>
  <c r="J36" i="92"/>
  <c r="J32" i="92"/>
  <c r="J75" i="92"/>
  <c r="J71" i="92"/>
  <c r="J51" i="92"/>
  <c r="J43" i="92"/>
  <c r="J35" i="92"/>
  <c r="J31" i="92"/>
  <c r="J17" i="92"/>
  <c r="J63" i="92"/>
  <c r="J59" i="92"/>
  <c r="J70" i="92"/>
  <c r="J45" i="92"/>
  <c r="J79" i="92"/>
  <c r="J29" i="92"/>
  <c r="J24" i="92"/>
  <c r="J56" i="92"/>
  <c r="J48" i="92"/>
  <c r="J30" i="92"/>
  <c r="X46" i="92"/>
  <c r="Z46" i="92" s="1"/>
  <c r="N48" i="92"/>
  <c r="L48" i="92"/>
  <c r="J20" i="86"/>
  <c r="J26" i="86"/>
  <c r="F27" i="86"/>
  <c r="J30" i="86"/>
  <c r="F31" i="86"/>
  <c r="F35" i="86"/>
  <c r="F38" i="86"/>
  <c r="J46" i="86"/>
  <c r="F50" i="86"/>
  <c r="J52" i="86"/>
  <c r="F55" i="86"/>
  <c r="J60" i="86"/>
  <c r="F64" i="86"/>
  <c r="J68" i="86"/>
  <c r="F70" i="86"/>
  <c r="F39" i="88"/>
  <c r="F32" i="88"/>
  <c r="F29" i="88"/>
  <c r="F36" i="88"/>
  <c r="F30" i="88"/>
  <c r="X30" i="88"/>
  <c r="H30" i="89"/>
  <c r="N16" i="89"/>
  <c r="F24" i="89"/>
  <c r="N19" i="91"/>
  <c r="X23" i="92"/>
  <c r="Z23" i="92" s="1"/>
  <c r="V46" i="92"/>
  <c r="R16" i="93"/>
  <c r="P16" i="93"/>
  <c r="R28" i="93"/>
  <c r="R22" i="93"/>
  <c r="R26" i="93"/>
  <c r="R20" i="93"/>
  <c r="X12" i="93"/>
  <c r="R24" i="93"/>
  <c r="R18" i="93"/>
  <c r="R19" i="93"/>
  <c r="R31" i="93"/>
  <c r="L12" i="86"/>
  <c r="F19" i="86"/>
  <c r="L20" i="86"/>
  <c r="J27" i="86"/>
  <c r="F28" i="86"/>
  <c r="J31" i="86"/>
  <c r="F32" i="86"/>
  <c r="J35" i="86"/>
  <c r="J41" i="86"/>
  <c r="F44" i="86"/>
  <c r="F47" i="86"/>
  <c r="X50" i="86"/>
  <c r="L52" i="86"/>
  <c r="J55" i="86"/>
  <c r="F56" i="86"/>
  <c r="L60" i="86"/>
  <c r="N60" i="86" s="1"/>
  <c r="X64" i="86"/>
  <c r="Z64" i="86" s="1"/>
  <c r="J36" i="88"/>
  <c r="J30" i="88"/>
  <c r="J34" i="88"/>
  <c r="F14" i="88"/>
  <c r="V14" i="88"/>
  <c r="F18" i="88"/>
  <c r="V18" i="88"/>
  <c r="F23" i="88"/>
  <c r="F26" i="88"/>
  <c r="V26" i="88"/>
  <c r="R20" i="89"/>
  <c r="F32" i="89"/>
  <c r="L13" i="90"/>
  <c r="N39" i="90"/>
  <c r="R36" i="91"/>
  <c r="R31" i="91"/>
  <c r="R28" i="91"/>
  <c r="R23" i="91"/>
  <c r="R48" i="91"/>
  <c r="R42" i="91"/>
  <c r="R39" i="91"/>
  <c r="R22" i="91"/>
  <c r="R53" i="91"/>
  <c r="R46" i="91"/>
  <c r="R33" i="91"/>
  <c r="R30" i="91"/>
  <c r="R21" i="91"/>
  <c r="R41" i="91"/>
  <c r="R35" i="91"/>
  <c r="R32" i="91"/>
  <c r="R27" i="91"/>
  <c r="R38" i="91"/>
  <c r="R26" i="91"/>
  <c r="R44" i="91"/>
  <c r="R37" i="91"/>
  <c r="R25" i="91"/>
  <c r="R19" i="91"/>
  <c r="R16" i="91"/>
  <c r="P16" i="91"/>
  <c r="R34" i="91"/>
  <c r="R29" i="91"/>
  <c r="R18" i="91"/>
  <c r="R14" i="91"/>
  <c r="R50" i="91"/>
  <c r="X12" i="91"/>
  <c r="D16" i="91"/>
  <c r="R20" i="91"/>
  <c r="H50" i="91"/>
  <c r="Z34" i="92"/>
  <c r="H76" i="85"/>
  <c r="N12" i="86"/>
  <c r="J14" i="86"/>
  <c r="F21" i="86"/>
  <c r="J28" i="86"/>
  <c r="J32" i="86"/>
  <c r="F33" i="86"/>
  <c r="F36" i="86"/>
  <c r="J38" i="86"/>
  <c r="J44" i="86"/>
  <c r="J50" i="86"/>
  <c r="F53" i="86"/>
  <c r="J56" i="86"/>
  <c r="F57" i="86"/>
  <c r="T63" i="86"/>
  <c r="J64" i="86"/>
  <c r="L12" i="88"/>
  <c r="F20" i="88"/>
  <c r="F23" i="89"/>
  <c r="F20" i="89"/>
  <c r="L12" i="89"/>
  <c r="F37" i="89"/>
  <c r="F30" i="89"/>
  <c r="F18" i="89"/>
  <c r="F14" i="89"/>
  <c r="X18" i="89"/>
  <c r="Z18" i="89" s="1"/>
  <c r="V28" i="89"/>
  <c r="N13" i="90"/>
  <c r="H12" i="90"/>
  <c r="V53" i="91"/>
  <c r="V48" i="91"/>
  <c r="V46" i="91"/>
  <c r="V42" i="91"/>
  <c r="V30" i="91"/>
  <c r="V22" i="91"/>
  <c r="V41" i="91"/>
  <c r="V33" i="91"/>
  <c r="V21" i="91"/>
  <c r="V32" i="91"/>
  <c r="V20" i="91"/>
  <c r="V35" i="91"/>
  <c r="V27" i="91"/>
  <c r="V50" i="91"/>
  <c r="V44" i="91"/>
  <c r="V38" i="91"/>
  <c r="V34" i="91"/>
  <c r="V26" i="91"/>
  <c r="V37" i="91"/>
  <c r="V29" i="91"/>
  <c r="V25" i="91"/>
  <c r="V28" i="91"/>
  <c r="V18" i="91"/>
  <c r="V14" i="91"/>
  <c r="V36" i="91"/>
  <c r="Z12" i="91"/>
  <c r="V40" i="91"/>
  <c r="V23" i="91"/>
  <c r="F16" i="91"/>
  <c r="F39" i="91"/>
  <c r="J53" i="92"/>
  <c r="X54" i="92"/>
  <c r="Z54" i="92" s="1"/>
  <c r="F21" i="90"/>
  <c r="F26" i="90"/>
  <c r="F29" i="90"/>
  <c r="F34" i="90"/>
  <c r="F37" i="90"/>
  <c r="F42" i="90"/>
  <c r="F48" i="90"/>
  <c r="X36" i="91"/>
  <c r="Z36" i="91" s="1"/>
  <c r="V64" i="92"/>
  <c r="V60" i="92"/>
  <c r="V56" i="92"/>
  <c r="V48" i="92"/>
  <c r="V40" i="92"/>
  <c r="V36" i="92"/>
  <c r="V32" i="92"/>
  <c r="V24" i="92"/>
  <c r="V71" i="92"/>
  <c r="V63" i="92"/>
  <c r="V59" i="92"/>
  <c r="V51" i="92"/>
  <c r="V43" i="92"/>
  <c r="V35" i="92"/>
  <c r="V31" i="92"/>
  <c r="V70" i="92"/>
  <c r="V50" i="92"/>
  <c r="V42" i="92"/>
  <c r="V34" i="92"/>
  <c r="V30" i="92"/>
  <c r="T21" i="92"/>
  <c r="V21" i="92" s="1"/>
  <c r="V73" i="92"/>
  <c r="V69" i="92"/>
  <c r="V53" i="92"/>
  <c r="V45" i="92"/>
  <c r="V29" i="92"/>
  <c r="V79" i="92"/>
  <c r="V72" i="92"/>
  <c r="V68" i="92"/>
  <c r="V52" i="92"/>
  <c r="V44" i="92"/>
  <c r="V28" i="92"/>
  <c r="V67" i="92"/>
  <c r="V55" i="92"/>
  <c r="V47" i="92"/>
  <c r="V39" i="92"/>
  <c r="V27" i="92"/>
  <c r="V23" i="92"/>
  <c r="V19" i="92"/>
  <c r="F79" i="92"/>
  <c r="F73" i="92"/>
  <c r="F69" i="92"/>
  <c r="F56" i="92"/>
  <c r="F53" i="92"/>
  <c r="F48" i="92"/>
  <c r="F45" i="92"/>
  <c r="F40" i="92"/>
  <c r="F29" i="92"/>
  <c r="F24" i="92"/>
  <c r="F68" i="92"/>
  <c r="F63" i="92"/>
  <c r="F59" i="92"/>
  <c r="F28" i="92"/>
  <c r="L12" i="92"/>
  <c r="N12" i="92" s="1"/>
  <c r="F67" i="92"/>
  <c r="F55" i="92"/>
  <c r="F50" i="92"/>
  <c r="F47" i="92"/>
  <c r="F42" i="92"/>
  <c r="F39" i="92"/>
  <c r="F34" i="92"/>
  <c r="F27" i="92"/>
  <c r="D21" i="92"/>
  <c r="F19" i="92"/>
  <c r="F66" i="92"/>
  <c r="F62" i="92"/>
  <c r="F58" i="92"/>
  <c r="F38" i="92"/>
  <c r="F26" i="92"/>
  <c r="F18" i="92"/>
  <c r="F72" i="92"/>
  <c r="F65" i="92"/>
  <c r="F61" i="92"/>
  <c r="F57" i="92"/>
  <c r="F52" i="92"/>
  <c r="F49" i="92"/>
  <c r="F44" i="92"/>
  <c r="F41" i="92"/>
  <c r="F37" i="92"/>
  <c r="F33" i="92"/>
  <c r="F25" i="92"/>
  <c r="F64" i="92"/>
  <c r="F60" i="92"/>
  <c r="F36" i="92"/>
  <c r="F32" i="92"/>
  <c r="F23" i="92"/>
  <c r="V18" i="92"/>
  <c r="F43" i="92"/>
  <c r="V49" i="92"/>
  <c r="V54" i="92"/>
  <c r="N56" i="92"/>
  <c r="L56" i="92"/>
  <c r="V28" i="93"/>
  <c r="V22" i="93"/>
  <c r="V18" i="93"/>
  <c r="V14" i="93"/>
  <c r="V31" i="93"/>
  <c r="V26" i="93"/>
  <c r="V24" i="93"/>
  <c r="V19" i="93"/>
  <c r="V16" i="93"/>
  <c r="T16" i="93"/>
  <c r="V20" i="93"/>
  <c r="Z12" i="93"/>
  <c r="N44" i="94"/>
  <c r="L44" i="94"/>
  <c r="J24" i="89"/>
  <c r="J28" i="89"/>
  <c r="J34" i="89"/>
  <c r="F44" i="90"/>
  <c r="N15" i="92"/>
  <c r="F35" i="92"/>
  <c r="Z50" i="92"/>
  <c r="V57" i="92"/>
  <c r="V61" i="92"/>
  <c r="V66" i="92"/>
  <c r="N72" i="92"/>
  <c r="J44" i="94"/>
  <c r="J22" i="89"/>
  <c r="F20" i="90"/>
  <c r="J38" i="91"/>
  <c r="J32" i="91"/>
  <c r="J26" i="91"/>
  <c r="J37" i="91"/>
  <c r="J29" i="91"/>
  <c r="J25" i="91"/>
  <c r="J19" i="91"/>
  <c r="J50" i="91"/>
  <c r="J44" i="91"/>
  <c r="J40" i="91"/>
  <c r="J34" i="91"/>
  <c r="J24" i="91"/>
  <c r="J31" i="91"/>
  <c r="J23" i="91"/>
  <c r="J48" i="91"/>
  <c r="J42" i="91"/>
  <c r="J36" i="91"/>
  <c r="J28" i="91"/>
  <c r="J39" i="91"/>
  <c r="J33" i="91"/>
  <c r="J20" i="91"/>
  <c r="J21" i="91"/>
  <c r="F46" i="92"/>
  <c r="F51" i="92"/>
  <c r="V65" i="92"/>
  <c r="F70" i="92"/>
  <c r="N75" i="92"/>
  <c r="L75" i="92"/>
  <c r="J25" i="89"/>
  <c r="F22" i="90"/>
  <c r="F30" i="90"/>
  <c r="F33" i="90"/>
  <c r="F38" i="90"/>
  <c r="F41" i="90"/>
  <c r="J27" i="91"/>
  <c r="X28" i="91"/>
  <c r="Z28" i="91" s="1"/>
  <c r="Z15" i="92"/>
  <c r="N23" i="92"/>
  <c r="F31" i="92"/>
  <c r="V37" i="92"/>
  <c r="N46" i="92"/>
  <c r="Z52" i="92"/>
  <c r="F54" i="92"/>
  <c r="Z72" i="92"/>
  <c r="Z50" i="94"/>
  <c r="X50" i="94"/>
  <c r="N52" i="94"/>
  <c r="L52" i="94"/>
  <c r="J52" i="94"/>
  <c r="J14" i="89"/>
  <c r="J18" i="89"/>
  <c r="J20" i="89"/>
  <c r="J30" i="89"/>
  <c r="F23" i="90"/>
  <c r="J14" i="91"/>
  <c r="J18" i="91"/>
  <c r="N30" i="91"/>
  <c r="L30" i="91"/>
  <c r="N40" i="92"/>
  <c r="L40" i="92"/>
  <c r="D78" i="94"/>
  <c r="N19" i="93"/>
  <c r="X34" i="94"/>
  <c r="Z46" i="94"/>
  <c r="N48" i="94"/>
  <c r="Z54" i="94"/>
  <c r="N56" i="94"/>
  <c r="J62" i="94"/>
  <c r="J74" i="94"/>
  <c r="D24" i="93"/>
  <c r="Z34" i="94"/>
  <c r="Z40" i="94"/>
  <c r="N59" i="94"/>
  <c r="X63" i="94"/>
  <c r="Z63" i="94" s="1"/>
  <c r="F71" i="94"/>
  <c r="F78" i="94"/>
  <c r="F76" i="94"/>
  <c r="F73" i="94"/>
  <c r="F72" i="94"/>
  <c r="F65" i="94"/>
  <c r="F61" i="94"/>
  <c r="F57" i="94"/>
  <c r="F52" i="94"/>
  <c r="F49" i="94"/>
  <c r="F44" i="94"/>
  <c r="F41" i="94"/>
  <c r="F37" i="94"/>
  <c r="F33" i="94"/>
  <c r="F25" i="94"/>
  <c r="F64" i="94"/>
  <c r="F60" i="94"/>
  <c r="F36" i="94"/>
  <c r="F32" i="94"/>
  <c r="F23" i="94"/>
  <c r="F54" i="94"/>
  <c r="F51" i="94"/>
  <c r="F46" i="94"/>
  <c r="F43" i="94"/>
  <c r="F35" i="94"/>
  <c r="F31" i="94"/>
  <c r="F70" i="94"/>
  <c r="F30" i="94"/>
  <c r="F17" i="94"/>
  <c r="F80" i="94"/>
  <c r="F69" i="94"/>
  <c r="F56" i="94"/>
  <c r="F53" i="94"/>
  <c r="F48" i="94"/>
  <c r="F45" i="94"/>
  <c r="F40" i="94"/>
  <c r="F29" i="94"/>
  <c r="F24" i="94"/>
  <c r="F68" i="94"/>
  <c r="F63" i="94"/>
  <c r="F59" i="94"/>
  <c r="F28" i="94"/>
  <c r="F21" i="94"/>
  <c r="L12" i="94"/>
  <c r="F38" i="94"/>
  <c r="F42" i="94"/>
  <c r="F47" i="94"/>
  <c r="F55" i="94"/>
  <c r="F58" i="94"/>
  <c r="F67" i="94"/>
  <c r="N73" i="94"/>
  <c r="J73" i="94"/>
  <c r="J76" i="94"/>
  <c r="J72" i="94"/>
  <c r="J64" i="94"/>
  <c r="J60" i="94"/>
  <c r="J54" i="94"/>
  <c r="J46" i="94"/>
  <c r="J36" i="94"/>
  <c r="J32" i="94"/>
  <c r="J71" i="94"/>
  <c r="J51" i="94"/>
  <c r="J43" i="94"/>
  <c r="J35" i="94"/>
  <c r="J31" i="94"/>
  <c r="J17" i="94"/>
  <c r="J70" i="94"/>
  <c r="J56" i="94"/>
  <c r="J48" i="94"/>
  <c r="J40" i="94"/>
  <c r="J30" i="94"/>
  <c r="J24" i="94"/>
  <c r="J80" i="94"/>
  <c r="J69" i="94"/>
  <c r="J63" i="94"/>
  <c r="J59" i="94"/>
  <c r="J53" i="94"/>
  <c r="J45" i="94"/>
  <c r="J29" i="94"/>
  <c r="J21" i="94"/>
  <c r="J68" i="94"/>
  <c r="J50" i="94"/>
  <c r="J42" i="94"/>
  <c r="J34" i="94"/>
  <c r="J28" i="94"/>
  <c r="H21" i="94"/>
  <c r="L21" i="94" s="1"/>
  <c r="N12" i="94"/>
  <c r="J67" i="94"/>
  <c r="J55" i="94"/>
  <c r="J47" i="94"/>
  <c r="J39" i="94"/>
  <c r="J27" i="94"/>
  <c r="J19" i="94"/>
  <c r="N15" i="94"/>
  <c r="Z17" i="94"/>
  <c r="F19" i="94"/>
  <c r="N24" i="94"/>
  <c r="F27" i="94"/>
  <c r="J38" i="94"/>
  <c r="J41" i="94"/>
  <c r="N42" i="94"/>
  <c r="Z48" i="94"/>
  <c r="F50" i="94"/>
  <c r="Z56" i="94"/>
  <c r="J58" i="94"/>
  <c r="L73" i="94"/>
  <c r="P81" i="95"/>
  <c r="R21" i="95"/>
  <c r="X19" i="93"/>
  <c r="Z19" i="93" s="1"/>
  <c r="N14" i="94"/>
  <c r="J23" i="94"/>
  <c r="X59" i="94"/>
  <c r="Z59" i="94" s="1"/>
  <c r="F66" i="94"/>
  <c r="Z18" i="93"/>
  <c r="T12" i="94"/>
  <c r="Z15" i="94"/>
  <c r="F18" i="94"/>
  <c r="F26" i="94"/>
  <c r="J37" i="94"/>
  <c r="X42" i="94"/>
  <c r="Z42" i="94" s="1"/>
  <c r="J49" i="94"/>
  <c r="J57" i="94"/>
  <c r="J66" i="94"/>
  <c r="H16" i="93"/>
  <c r="L16" i="93" s="1"/>
  <c r="F19" i="93"/>
  <c r="F37" i="95"/>
  <c r="N60" i="95"/>
  <c r="L60" i="95"/>
  <c r="F79" i="95"/>
  <c r="F77" i="95"/>
  <c r="X12" i="100"/>
  <c r="R34" i="100"/>
  <c r="R31" i="100"/>
  <c r="R27" i="100"/>
  <c r="R21" i="100"/>
  <c r="R36" i="100"/>
  <c r="R33" i="100"/>
  <c r="R29" i="100"/>
  <c r="R25" i="100"/>
  <c r="P18" i="100"/>
  <c r="R15" i="100"/>
  <c r="R20" i="100"/>
  <c r="R24" i="100"/>
  <c r="R18" i="100"/>
  <c r="R16" i="100"/>
  <c r="R22" i="100"/>
  <c r="J19" i="93"/>
  <c r="P12" i="94"/>
  <c r="X71" i="94"/>
  <c r="Z71" i="94" s="1"/>
  <c r="N23" i="95"/>
  <c r="F33" i="95"/>
  <c r="N34" i="95"/>
  <c r="X42" i="95"/>
  <c r="Z42" i="95" s="1"/>
  <c r="N44" i="95"/>
  <c r="L44" i="95"/>
  <c r="N74" i="95"/>
  <c r="N17" i="97"/>
  <c r="F14" i="93"/>
  <c r="F18" i="93"/>
  <c r="J24" i="93"/>
  <c r="J31" i="93"/>
  <c r="Z73" i="94"/>
  <c r="X76" i="94"/>
  <c r="R83" i="95"/>
  <c r="R77" i="95"/>
  <c r="R76" i="95"/>
  <c r="R68" i="95"/>
  <c r="R64" i="95"/>
  <c r="R28" i="95"/>
  <c r="X12" i="95"/>
  <c r="R60" i="95"/>
  <c r="R55" i="95"/>
  <c r="R52" i="95"/>
  <c r="R47" i="95"/>
  <c r="R44" i="95"/>
  <c r="R39" i="95"/>
  <c r="R27" i="95"/>
  <c r="R19" i="95"/>
  <c r="R79" i="95"/>
  <c r="R67" i="95"/>
  <c r="R63" i="95"/>
  <c r="R38" i="95"/>
  <c r="R26" i="95"/>
  <c r="R23" i="95"/>
  <c r="R18" i="95"/>
  <c r="R73" i="95"/>
  <c r="R57" i="95"/>
  <c r="R54" i="95"/>
  <c r="R49" i="95"/>
  <c r="R46" i="95"/>
  <c r="R41" i="95"/>
  <c r="R37" i="95"/>
  <c r="R33" i="95"/>
  <c r="R25" i="95"/>
  <c r="R72" i="95"/>
  <c r="R36" i="95"/>
  <c r="R32" i="95"/>
  <c r="R17" i="95"/>
  <c r="R75" i="95"/>
  <c r="R71" i="95"/>
  <c r="R59" i="95"/>
  <c r="R56" i="95"/>
  <c r="R51" i="95"/>
  <c r="R48" i="95"/>
  <c r="R43" i="95"/>
  <c r="R40" i="95"/>
  <c r="R35" i="95"/>
  <c r="R31" i="95"/>
  <c r="R24" i="95"/>
  <c r="X15" i="95"/>
  <c r="R50" i="95"/>
  <c r="Z56" i="95"/>
  <c r="L63" i="95"/>
  <c r="N63" i="95" s="1"/>
  <c r="L76" i="95"/>
  <c r="D24" i="96"/>
  <c r="P20" i="96"/>
  <c r="X21" i="96"/>
  <c r="Z21" i="96" s="1"/>
  <c r="F20" i="93"/>
  <c r="F26" i="93"/>
  <c r="L76" i="94"/>
  <c r="F72" i="95"/>
  <c r="F67" i="95"/>
  <c r="F63" i="95"/>
  <c r="F36" i="95"/>
  <c r="F32" i="95"/>
  <c r="F23" i="95"/>
  <c r="F75" i="95"/>
  <c r="F71" i="95"/>
  <c r="F59" i="95"/>
  <c r="F54" i="95"/>
  <c r="F51" i="95"/>
  <c r="F46" i="95"/>
  <c r="F43" i="95"/>
  <c r="F35" i="95"/>
  <c r="F31" i="95"/>
  <c r="F70" i="95"/>
  <c r="F66" i="95"/>
  <c r="F62" i="95"/>
  <c r="F30" i="95"/>
  <c r="F17" i="95"/>
  <c r="F69" i="95"/>
  <c r="F65" i="95"/>
  <c r="F61" i="95"/>
  <c r="F56" i="95"/>
  <c r="F53" i="95"/>
  <c r="F48" i="95"/>
  <c r="F45" i="95"/>
  <c r="F40" i="95"/>
  <c r="F29" i="95"/>
  <c r="F24" i="95"/>
  <c r="F68" i="95"/>
  <c r="F64" i="95"/>
  <c r="F28" i="95"/>
  <c r="F74" i="95"/>
  <c r="F58" i="95"/>
  <c r="F55" i="95"/>
  <c r="F50" i="95"/>
  <c r="F47" i="95"/>
  <c r="F42" i="95"/>
  <c r="F39" i="95"/>
  <c r="F34" i="95"/>
  <c r="F27" i="95"/>
  <c r="D21" i="95"/>
  <c r="F19" i="95"/>
  <c r="Z50" i="95"/>
  <c r="X50" i="95"/>
  <c r="F52" i="95"/>
  <c r="R70" i="95"/>
  <c r="R74" i="95"/>
  <c r="F76" i="95"/>
  <c r="J21" i="96"/>
  <c r="J24" i="96"/>
  <c r="J22" i="96"/>
  <c r="J28" i="96"/>
  <c r="J26" i="96"/>
  <c r="J31" i="96"/>
  <c r="J20" i="96"/>
  <c r="J18" i="96"/>
  <c r="J16" i="96"/>
  <c r="H16" i="96"/>
  <c r="L16" i="96" s="1"/>
  <c r="J14" i="96"/>
  <c r="N12" i="96"/>
  <c r="T20" i="96"/>
  <c r="Z22" i="96"/>
  <c r="N12" i="93"/>
  <c r="J14" i="93"/>
  <c r="J18" i="93"/>
  <c r="J20" i="93"/>
  <c r="F22" i="93"/>
  <c r="T12" i="95"/>
  <c r="X14" i="95"/>
  <c r="F18" i="95"/>
  <c r="Z24" i="95"/>
  <c r="R30" i="95"/>
  <c r="X34" i="95"/>
  <c r="Z34" i="95" s="1"/>
  <c r="N52" i="95"/>
  <c r="L52" i="95"/>
  <c r="R53" i="95"/>
  <c r="F57" i="95"/>
  <c r="L67" i="95"/>
  <c r="R69" i="95"/>
  <c r="Z74" i="95"/>
  <c r="X74" i="95"/>
  <c r="H12" i="95"/>
  <c r="V28" i="96"/>
  <c r="R20" i="97"/>
  <c r="Z30" i="97"/>
  <c r="V33" i="97"/>
  <c r="V36" i="97"/>
  <c r="J21" i="98"/>
  <c r="J36" i="98"/>
  <c r="J33" i="98"/>
  <c r="J29" i="98"/>
  <c r="J25" i="98"/>
  <c r="H18" i="98"/>
  <c r="J15" i="98"/>
  <c r="J27" i="98"/>
  <c r="J20" i="98"/>
  <c r="J31" i="98"/>
  <c r="J18" i="98"/>
  <c r="J34" i="98"/>
  <c r="J24" i="98"/>
  <c r="J16" i="98"/>
  <c r="N12" i="98"/>
  <c r="V31" i="99"/>
  <c r="F62" i="97"/>
  <c r="F55" i="97"/>
  <c r="F46" i="97"/>
  <c r="F43" i="97"/>
  <c r="F60" i="97"/>
  <c r="F54" i="97"/>
  <c r="F47" i="97"/>
  <c r="F35" i="97"/>
  <c r="F56" i="97"/>
  <c r="F53" i="97"/>
  <c r="F49" i="97"/>
  <c r="F44" i="97"/>
  <c r="F22" i="97"/>
  <c r="F29" i="97"/>
  <c r="F21" i="97"/>
  <c r="F42" i="97"/>
  <c r="F37" i="97"/>
  <c r="F36" i="97"/>
  <c r="F34" i="97"/>
  <c r="F28" i="97"/>
  <c r="F19" i="97"/>
  <c r="F15" i="97"/>
  <c r="L12" i="97"/>
  <c r="N12" i="97" s="1"/>
  <c r="F52" i="97"/>
  <c r="F33" i="97"/>
  <c r="F32" i="97"/>
  <c r="F31" i="97"/>
  <c r="F27" i="97"/>
  <c r="F40" i="97"/>
  <c r="F26" i="97"/>
  <c r="F59" i="97"/>
  <c r="F57" i="97"/>
  <c r="F50" i="97"/>
  <c r="F48" i="97"/>
  <c r="F45" i="97"/>
  <c r="F41" i="97"/>
  <c r="F25" i="97"/>
  <c r="F20" i="97"/>
  <c r="Z20" i="97"/>
  <c r="V30" i="97"/>
  <c r="F39" i="97"/>
  <c r="F51" i="97"/>
  <c r="X16" i="99"/>
  <c r="Z16" i="99"/>
  <c r="X15" i="100"/>
  <c r="L25" i="100"/>
  <c r="T16" i="96"/>
  <c r="V21" i="96"/>
  <c r="L20" i="96"/>
  <c r="N20" i="96" s="1"/>
  <c r="V22" i="96"/>
  <c r="V32" i="97"/>
  <c r="R35" i="97"/>
  <c r="F38" i="97"/>
  <c r="L39" i="97"/>
  <c r="N39" i="97"/>
  <c r="X12" i="96"/>
  <c r="J48" i="97"/>
  <c r="J42" i="97"/>
  <c r="J64" i="97"/>
  <c r="J56" i="97"/>
  <c r="J50" i="97"/>
  <c r="J44" i="97"/>
  <c r="J38" i="97"/>
  <c r="J34" i="97"/>
  <c r="J52" i="97"/>
  <c r="J46" i="97"/>
  <c r="J40" i="97"/>
  <c r="J37" i="97"/>
  <c r="J29" i="97"/>
  <c r="J21" i="97"/>
  <c r="J19" i="97"/>
  <c r="J15" i="97"/>
  <c r="J36" i="97"/>
  <c r="J28" i="97"/>
  <c r="J35" i="97"/>
  <c r="J33" i="97"/>
  <c r="J32" i="97"/>
  <c r="J31" i="97"/>
  <c r="J27" i="97"/>
  <c r="J60" i="97"/>
  <c r="J54" i="97"/>
  <c r="J41" i="97"/>
  <c r="J26" i="97"/>
  <c r="J20" i="97"/>
  <c r="J59" i="97"/>
  <c r="J57" i="97"/>
  <c r="J55" i="97"/>
  <c r="J51" i="97"/>
  <c r="J45" i="97"/>
  <c r="J43" i="97"/>
  <c r="J25" i="97"/>
  <c r="J17" i="97"/>
  <c r="J53" i="97"/>
  <c r="J49" i="97"/>
  <c r="J47" i="97"/>
  <c r="J39" i="97"/>
  <c r="J30" i="97"/>
  <c r="J24" i="97"/>
  <c r="L13" i="97"/>
  <c r="N13" i="97" s="1"/>
  <c r="T17" i="97"/>
  <c r="Z19" i="97"/>
  <c r="F24" i="97"/>
  <c r="V35" i="97"/>
  <c r="P69" i="97"/>
  <c r="R69" i="97" s="1"/>
  <c r="L34" i="98"/>
  <c r="X13" i="99"/>
  <c r="X29" i="100"/>
  <c r="Z12" i="96"/>
  <c r="V16" i="96"/>
  <c r="L21" i="96"/>
  <c r="N21" i="96" s="1"/>
  <c r="R56" i="97"/>
  <c r="R47" i="97"/>
  <c r="R44" i="97"/>
  <c r="R55" i="97"/>
  <c r="R48" i="97"/>
  <c r="R43" i="97"/>
  <c r="R31" i="97"/>
  <c r="R66" i="97"/>
  <c r="R60" i="97"/>
  <c r="R57" i="97"/>
  <c r="R54" i="97"/>
  <c r="R45" i="97"/>
  <c r="R42" i="97"/>
  <c r="R32" i="97"/>
  <c r="R26" i="97"/>
  <c r="R17" i="97"/>
  <c r="R62" i="97"/>
  <c r="R52" i="97"/>
  <c r="R51" i="97"/>
  <c r="R46" i="97"/>
  <c r="R30" i="97"/>
  <c r="R25" i="97"/>
  <c r="R59" i="97"/>
  <c r="R53" i="97"/>
  <c r="R50" i="97"/>
  <c r="R49" i="97"/>
  <c r="R40" i="97"/>
  <c r="R39" i="97"/>
  <c r="R24" i="97"/>
  <c r="R64" i="97"/>
  <c r="R23" i="97"/>
  <c r="R38" i="97"/>
  <c r="R37" i="97"/>
  <c r="R22" i="97"/>
  <c r="R19" i="97"/>
  <c r="R15" i="97"/>
  <c r="R29" i="97"/>
  <c r="R21" i="97"/>
  <c r="F23" i="97"/>
  <c r="R27" i="97"/>
  <c r="L30" i="97"/>
  <c r="N30" i="97" s="1"/>
  <c r="F64" i="97"/>
  <c r="V21" i="99"/>
  <c r="V36" i="99"/>
  <c r="V33" i="99"/>
  <c r="V29" i="99"/>
  <c r="V25" i="99"/>
  <c r="T18" i="99"/>
  <c r="V15" i="99"/>
  <c r="V22" i="99"/>
  <c r="V20" i="99"/>
  <c r="V27" i="99"/>
  <c r="V16" i="99"/>
  <c r="Z12" i="99"/>
  <c r="V18" i="99"/>
  <c r="V14" i="96"/>
  <c r="V64" i="97"/>
  <c r="V50" i="97"/>
  <c r="V46" i="97"/>
  <c r="V38" i="97"/>
  <c r="V60" i="97"/>
  <c r="V54" i="97"/>
  <c r="V42" i="97"/>
  <c r="V56" i="97"/>
  <c r="V44" i="97"/>
  <c r="V59" i="97"/>
  <c r="V52" i="97"/>
  <c r="V48" i="97"/>
  <c r="V39" i="97"/>
  <c r="V25" i="97"/>
  <c r="V57" i="97"/>
  <c r="V55" i="97"/>
  <c r="V53" i="97"/>
  <c r="V49" i="97"/>
  <c r="V45" i="97"/>
  <c r="V43" i="97"/>
  <c r="V40" i="97"/>
  <c r="V24" i="97"/>
  <c r="V47" i="97"/>
  <c r="V37" i="97"/>
  <c r="V23" i="97"/>
  <c r="V19" i="97"/>
  <c r="V15" i="97"/>
  <c r="V22" i="97"/>
  <c r="V29" i="97"/>
  <c r="V21" i="97"/>
  <c r="V41" i="97"/>
  <c r="V28" i="97"/>
  <c r="V20" i="97"/>
  <c r="Z13" i="97"/>
  <c r="X15" i="97"/>
  <c r="X17" i="97"/>
  <c r="V27" i="97"/>
  <c r="F30" i="97"/>
  <c r="R34" i="97"/>
  <c r="V51" i="97"/>
  <c r="L15" i="98"/>
  <c r="J22" i="98"/>
  <c r="X12" i="99"/>
  <c r="V24" i="99"/>
  <c r="X33" i="99"/>
  <c r="X22" i="98"/>
  <c r="V34" i="100"/>
  <c r="V31" i="100"/>
  <c r="V27" i="100"/>
  <c r="V21" i="100"/>
  <c r="V36" i="100"/>
  <c r="V33" i="100"/>
  <c r="V29" i="100"/>
  <c r="V25" i="100"/>
  <c r="T18" i="100"/>
  <c r="V15" i="100"/>
  <c r="J20" i="100"/>
  <c r="R21" i="96"/>
  <c r="N46" i="97"/>
  <c r="N48" i="97"/>
  <c r="N54" i="97"/>
  <c r="N60" i="97"/>
  <c r="H59" i="97"/>
  <c r="H62" i="97" s="1"/>
  <c r="Z12" i="100"/>
  <c r="V22" i="100"/>
  <c r="N51" i="97"/>
  <c r="V36" i="98"/>
  <c r="V33" i="98"/>
  <c r="V29" i="98"/>
  <c r="V25" i="98"/>
  <c r="T18" i="98"/>
  <c r="V15" i="98"/>
  <c r="V34" i="98"/>
  <c r="V31" i="98"/>
  <c r="V27" i="98"/>
  <c r="V21" i="98"/>
  <c r="L12" i="96"/>
  <c r="P16" i="96"/>
  <c r="F21" i="96"/>
  <c r="Z12" i="98"/>
  <c r="X15" i="98"/>
  <c r="V22" i="98"/>
  <c r="J34" i="99"/>
  <c r="J31" i="99"/>
  <c r="J27" i="99"/>
  <c r="J36" i="99"/>
  <c r="J33" i="99"/>
  <c r="J29" i="99"/>
  <c r="J25" i="99"/>
  <c r="H18" i="99"/>
  <c r="J15" i="99"/>
  <c r="J16" i="99"/>
  <c r="J18" i="99"/>
  <c r="N24" i="99"/>
  <c r="V16" i="100"/>
  <c r="J22" i="100"/>
  <c r="V24" i="100"/>
  <c r="Z37" i="97"/>
  <c r="Z48" i="97"/>
  <c r="X59" i="97"/>
  <c r="Z59" i="97" s="1"/>
  <c r="J20" i="99"/>
  <c r="L34" i="100"/>
  <c r="Z44" i="97"/>
  <c r="Z46" i="97"/>
  <c r="L16" i="98"/>
  <c r="V16" i="98"/>
  <c r="V18" i="98"/>
  <c r="J21" i="100"/>
  <c r="J36" i="100"/>
  <c r="J33" i="100"/>
  <c r="J29" i="100"/>
  <c r="J25" i="100"/>
  <c r="J34" i="100"/>
  <c r="J31" i="100"/>
  <c r="J27" i="100"/>
  <c r="V20" i="100"/>
  <c r="R27" i="98"/>
  <c r="R31" i="98"/>
  <c r="R34" i="98"/>
  <c r="L12" i="99"/>
  <c r="F15" i="99"/>
  <c r="D18" i="99"/>
  <c r="R21" i="99"/>
  <c r="F25" i="99"/>
  <c r="F29" i="99"/>
  <c r="F33" i="99"/>
  <c r="F36" i="99"/>
  <c r="X12" i="98"/>
  <c r="R27" i="99"/>
  <c r="R31" i="99"/>
  <c r="R34" i="99"/>
  <c r="L12" i="100"/>
  <c r="F15" i="100"/>
  <c r="D18" i="100"/>
  <c r="F25" i="100"/>
  <c r="F29" i="100"/>
  <c r="F33" i="100"/>
  <c r="F36" i="100"/>
  <c r="R15" i="99"/>
  <c r="P18" i="99"/>
  <c r="R25" i="99"/>
  <c r="R29" i="99"/>
  <c r="R33" i="99"/>
  <c r="F27" i="100"/>
  <c r="F31" i="100"/>
  <c r="Z18" i="20" l="1"/>
  <c r="X18" i="29"/>
  <c r="N18" i="49"/>
  <c r="Z18" i="32"/>
  <c r="Z18" i="43"/>
  <c r="X18" i="52"/>
  <c r="L18" i="43"/>
  <c r="L18" i="22"/>
  <c r="Z27" i="20"/>
  <c r="T31" i="20"/>
  <c r="N18" i="100"/>
  <c r="L18" i="32"/>
  <c r="N18" i="20"/>
  <c r="L18" i="50"/>
  <c r="N18" i="41"/>
  <c r="N18" i="11"/>
  <c r="Z18" i="38"/>
  <c r="Z18" i="16"/>
  <c r="X18" i="26"/>
  <c r="N18" i="25"/>
  <c r="Z27" i="16"/>
  <c r="D27" i="22"/>
  <c r="L27" i="22" s="1"/>
  <c r="Z18" i="7"/>
  <c r="Z18" i="22"/>
  <c r="X18" i="13"/>
  <c r="L18" i="46"/>
  <c r="L27" i="49"/>
  <c r="L18" i="49"/>
  <c r="Z27" i="22"/>
  <c r="L18" i="13"/>
  <c r="X18" i="7"/>
  <c r="Z27" i="7"/>
  <c r="Z31" i="7"/>
  <c r="X18" i="16"/>
  <c r="L18" i="38"/>
  <c r="Z18" i="13"/>
  <c r="N18" i="38"/>
  <c r="H27" i="38"/>
  <c r="L27" i="38" s="1"/>
  <c r="L18" i="53"/>
  <c r="D27" i="53"/>
  <c r="H27" i="22"/>
  <c r="N18" i="22"/>
  <c r="H27" i="5"/>
  <c r="N18" i="5"/>
  <c r="T36" i="16"/>
  <c r="Z36" i="16" s="1"/>
  <c r="Z31" i="16"/>
  <c r="H66" i="97"/>
  <c r="J62" i="97"/>
  <c r="D36" i="88"/>
  <c r="N27" i="100"/>
  <c r="H31" i="100"/>
  <c r="X18" i="100"/>
  <c r="P27" i="100"/>
  <c r="J21" i="87"/>
  <c r="H17" i="87"/>
  <c r="J25" i="87"/>
  <c r="J19" i="87"/>
  <c r="J15" i="87"/>
  <c r="P75" i="81"/>
  <c r="T70" i="76"/>
  <c r="J76" i="95"/>
  <c r="J75" i="95"/>
  <c r="J71" i="95"/>
  <c r="J59" i="95"/>
  <c r="J51" i="95"/>
  <c r="J43" i="95"/>
  <c r="J35" i="95"/>
  <c r="J31" i="95"/>
  <c r="J17" i="95"/>
  <c r="J70" i="95"/>
  <c r="J66" i="95"/>
  <c r="J62" i="95"/>
  <c r="J56" i="95"/>
  <c r="J48" i="95"/>
  <c r="J40" i="95"/>
  <c r="J30" i="95"/>
  <c r="J24" i="95"/>
  <c r="J69" i="95"/>
  <c r="J65" i="95"/>
  <c r="J61" i="95"/>
  <c r="J53" i="95"/>
  <c r="J45" i="95"/>
  <c r="J29" i="95"/>
  <c r="J74" i="95"/>
  <c r="J68" i="95"/>
  <c r="J64" i="95"/>
  <c r="J58" i="95"/>
  <c r="J50" i="95"/>
  <c r="J42" i="95"/>
  <c r="J34" i="95"/>
  <c r="J28" i="95"/>
  <c r="H21" i="95"/>
  <c r="J55" i="95"/>
  <c r="J47" i="95"/>
  <c r="J39" i="95"/>
  <c r="J27" i="95"/>
  <c r="J19" i="95"/>
  <c r="J79" i="95"/>
  <c r="J60" i="95"/>
  <c r="J52" i="95"/>
  <c r="J44" i="95"/>
  <c r="J38" i="95"/>
  <c r="J26" i="95"/>
  <c r="J18" i="95"/>
  <c r="J63" i="95"/>
  <c r="J32" i="95"/>
  <c r="J72" i="95"/>
  <c r="J54" i="95"/>
  <c r="J73" i="95"/>
  <c r="J36" i="95"/>
  <c r="J33" i="95"/>
  <c r="J23" i="95"/>
  <c r="J77" i="95"/>
  <c r="J49" i="95"/>
  <c r="J46" i="95"/>
  <c r="J37" i="95"/>
  <c r="J83" i="95"/>
  <c r="J41" i="95"/>
  <c r="J25" i="95"/>
  <c r="J67" i="95"/>
  <c r="J57" i="95"/>
  <c r="V76" i="95"/>
  <c r="V79" i="95"/>
  <c r="V67" i="95"/>
  <c r="V63" i="95"/>
  <c r="V55" i="95"/>
  <c r="V47" i="95"/>
  <c r="V39" i="95"/>
  <c r="V27" i="95"/>
  <c r="V23" i="95"/>
  <c r="V19" i="95"/>
  <c r="V81" i="95"/>
  <c r="V54" i="95"/>
  <c r="V46" i="95"/>
  <c r="V38" i="95"/>
  <c r="V26" i="95"/>
  <c r="V18" i="95"/>
  <c r="V85" i="95"/>
  <c r="V73" i="95"/>
  <c r="V57" i="95"/>
  <c r="V49" i="95"/>
  <c r="V41" i="95"/>
  <c r="V37" i="95"/>
  <c r="V33" i="95"/>
  <c r="V25" i="95"/>
  <c r="V17" i="95"/>
  <c r="V88" i="95"/>
  <c r="V83" i="95"/>
  <c r="V77" i="95"/>
  <c r="V72" i="95"/>
  <c r="V56" i="95"/>
  <c r="V48" i="95"/>
  <c r="V40" i="95"/>
  <c r="V36" i="95"/>
  <c r="V32" i="95"/>
  <c r="V24" i="95"/>
  <c r="V75" i="95"/>
  <c r="V71" i="95"/>
  <c r="V59" i="95"/>
  <c r="V51" i="95"/>
  <c r="V43" i="95"/>
  <c r="V35" i="95"/>
  <c r="V31" i="95"/>
  <c r="V21" i="95"/>
  <c r="V74" i="95"/>
  <c r="V70" i="95"/>
  <c r="V66" i="95"/>
  <c r="V62" i="95"/>
  <c r="V58" i="95"/>
  <c r="V50" i="95"/>
  <c r="V42" i="95"/>
  <c r="V34" i="95"/>
  <c r="V30" i="95"/>
  <c r="T21" i="95"/>
  <c r="V64" i="95"/>
  <c r="V44" i="95"/>
  <c r="V65" i="95"/>
  <c r="V60" i="95"/>
  <c r="V45" i="95"/>
  <c r="V61" i="95"/>
  <c r="V28" i="95"/>
  <c r="V52" i="95"/>
  <c r="V29" i="95"/>
  <c r="Z12" i="95"/>
  <c r="V53" i="95"/>
  <c r="V68" i="95"/>
  <c r="V69" i="95"/>
  <c r="D81" i="95"/>
  <c r="L21" i="95"/>
  <c r="V21" i="87"/>
  <c r="T17" i="87"/>
  <c r="V19" i="87"/>
  <c r="V15" i="87"/>
  <c r="V25" i="87"/>
  <c r="X29" i="88"/>
  <c r="P27" i="87"/>
  <c r="P46" i="90"/>
  <c r="D36" i="82"/>
  <c r="L32" i="82"/>
  <c r="Z19" i="73"/>
  <c r="V19" i="73"/>
  <c r="T64" i="73"/>
  <c r="D44" i="74"/>
  <c r="L17" i="74"/>
  <c r="X19" i="73"/>
  <c r="P64" i="73"/>
  <c r="X90" i="71"/>
  <c r="R50" i="67"/>
  <c r="R44" i="67"/>
  <c r="R41" i="67"/>
  <c r="R36" i="67"/>
  <c r="R33" i="67"/>
  <c r="R28" i="67"/>
  <c r="X12" i="67"/>
  <c r="R55" i="67"/>
  <c r="R48" i="67"/>
  <c r="R27" i="67"/>
  <c r="R19" i="67"/>
  <c r="R43" i="67"/>
  <c r="R38" i="67"/>
  <c r="R35" i="67"/>
  <c r="R26" i="67"/>
  <c r="R23" i="67"/>
  <c r="R25" i="67"/>
  <c r="R18" i="67"/>
  <c r="R40" i="67"/>
  <c r="R37" i="67"/>
  <c r="R32" i="67"/>
  <c r="R52" i="67"/>
  <c r="R46" i="67"/>
  <c r="R31" i="67"/>
  <c r="R24" i="67"/>
  <c r="R30" i="67"/>
  <c r="R34" i="67"/>
  <c r="R21" i="67"/>
  <c r="P21" i="67"/>
  <c r="R29" i="67"/>
  <c r="R42" i="67"/>
  <c r="R39" i="67"/>
  <c r="V128" i="69"/>
  <c r="V112" i="69"/>
  <c r="V108" i="69"/>
  <c r="V96" i="69"/>
  <c r="V84" i="69"/>
  <c r="V76" i="69"/>
  <c r="V68" i="69"/>
  <c r="V60" i="69"/>
  <c r="V127" i="69"/>
  <c r="V115" i="69"/>
  <c r="V111" i="69"/>
  <c r="V99" i="69"/>
  <c r="V95" i="69"/>
  <c r="V91" i="69"/>
  <c r="V83" i="69"/>
  <c r="V75" i="69"/>
  <c r="V67" i="69"/>
  <c r="V59" i="69"/>
  <c r="V132" i="69"/>
  <c r="V118" i="69"/>
  <c r="V114" i="69"/>
  <c r="V102" i="69"/>
  <c r="V98" i="69"/>
  <c r="V94" i="69"/>
  <c r="V90" i="69"/>
  <c r="V74" i="69"/>
  <c r="V66" i="69"/>
  <c r="V58" i="69"/>
  <c r="V117" i="69"/>
  <c r="V113" i="69"/>
  <c r="V101" i="69"/>
  <c r="V93" i="69"/>
  <c r="V89" i="69"/>
  <c r="T80" i="69"/>
  <c r="V73" i="69"/>
  <c r="V65" i="69"/>
  <c r="V57" i="69"/>
  <c r="V130" i="69"/>
  <c r="V124" i="69"/>
  <c r="V120" i="69"/>
  <c r="V116" i="69"/>
  <c r="V104" i="69"/>
  <c r="V100" i="69"/>
  <c r="V92" i="69"/>
  <c r="V88" i="69"/>
  <c r="V72" i="69"/>
  <c r="V64" i="69"/>
  <c r="V56" i="69"/>
  <c r="V136" i="69"/>
  <c r="V126" i="69"/>
  <c r="V122" i="69"/>
  <c r="V110" i="69"/>
  <c r="V106" i="69"/>
  <c r="V86" i="69"/>
  <c r="V82" i="69"/>
  <c r="V78" i="69"/>
  <c r="V70" i="69"/>
  <c r="V62" i="69"/>
  <c r="V54" i="69"/>
  <c r="V85" i="69"/>
  <c r="V63" i="69"/>
  <c r="V71" i="69"/>
  <c r="V107" i="69"/>
  <c r="V97" i="69"/>
  <c r="V61" i="69"/>
  <c r="V55" i="69"/>
  <c r="V123" i="69"/>
  <c r="V119" i="69"/>
  <c r="V103" i="69"/>
  <c r="V69" i="69"/>
  <c r="V87" i="69"/>
  <c r="V121" i="69"/>
  <c r="V105" i="69"/>
  <c r="V131" i="69"/>
  <c r="V109" i="69"/>
  <c r="V125" i="69"/>
  <c r="V77" i="69"/>
  <c r="N105" i="66"/>
  <c r="D101" i="62"/>
  <c r="J99" i="66"/>
  <c r="J93" i="66"/>
  <c r="J89" i="66"/>
  <c r="J81" i="66"/>
  <c r="J69" i="66"/>
  <c r="J65" i="66"/>
  <c r="J49" i="66"/>
  <c r="J41" i="66"/>
  <c r="J102" i="66"/>
  <c r="J92" i="66"/>
  <c r="J86" i="66"/>
  <c r="J78" i="66"/>
  <c r="J64" i="66"/>
  <c r="J58" i="66"/>
  <c r="J107" i="66"/>
  <c r="J95" i="66"/>
  <c r="J91" i="66"/>
  <c r="J83" i="66"/>
  <c r="J75" i="66"/>
  <c r="J63" i="66"/>
  <c r="J47" i="66"/>
  <c r="J39" i="66"/>
  <c r="J98" i="66"/>
  <c r="J88" i="66"/>
  <c r="J80" i="66"/>
  <c r="J74" i="66"/>
  <c r="J68" i="66"/>
  <c r="J62" i="66"/>
  <c r="H55" i="66"/>
  <c r="J46" i="66"/>
  <c r="J105" i="66"/>
  <c r="J101" i="66"/>
  <c r="J97" i="66"/>
  <c r="J85" i="66"/>
  <c r="J77" i="66"/>
  <c r="J73" i="66"/>
  <c r="J61" i="66"/>
  <c r="J53" i="66"/>
  <c r="J45" i="66"/>
  <c r="J108" i="66"/>
  <c r="J100" i="66"/>
  <c r="J94" i="66"/>
  <c r="J90" i="66"/>
  <c r="J82" i="66"/>
  <c r="J72" i="66"/>
  <c r="J60" i="66"/>
  <c r="J52" i="66"/>
  <c r="J44" i="66"/>
  <c r="J106" i="66"/>
  <c r="J51" i="66"/>
  <c r="J38" i="66"/>
  <c r="J112" i="66"/>
  <c r="J76" i="66"/>
  <c r="J66" i="66"/>
  <c r="J40" i="66"/>
  <c r="J103" i="66"/>
  <c r="J87" i="66"/>
  <c r="J57" i="66"/>
  <c r="J48" i="66"/>
  <c r="J96" i="66"/>
  <c r="J67" i="66"/>
  <c r="J42" i="66"/>
  <c r="J79" i="66"/>
  <c r="J59" i="66"/>
  <c r="J50" i="66"/>
  <c r="J71" i="66"/>
  <c r="J84" i="66"/>
  <c r="J43" i="66"/>
  <c r="J70" i="66"/>
  <c r="D50" i="59"/>
  <c r="L16" i="59"/>
  <c r="D60" i="56"/>
  <c r="L16" i="56"/>
  <c r="D39" i="65"/>
  <c r="H60" i="56"/>
  <c r="N16" i="56"/>
  <c r="V21" i="45"/>
  <c r="T88" i="45"/>
  <c r="D27" i="44"/>
  <c r="L18" i="44"/>
  <c r="H27" i="40"/>
  <c r="N18" i="40"/>
  <c r="X59" i="48"/>
  <c r="J81" i="45"/>
  <c r="J73" i="45"/>
  <c r="J55" i="45"/>
  <c r="J47" i="45"/>
  <c r="J37" i="45"/>
  <c r="J33" i="45"/>
  <c r="J25" i="45"/>
  <c r="J23" i="45"/>
  <c r="J90" i="45"/>
  <c r="J84" i="45"/>
  <c r="J78" i="45"/>
  <c r="J72" i="45"/>
  <c r="J68" i="45"/>
  <c r="J64" i="45"/>
  <c r="J60" i="45"/>
  <c r="J52" i="45"/>
  <c r="J44" i="45"/>
  <c r="J36" i="45"/>
  <c r="J32" i="45"/>
  <c r="J83" i="45"/>
  <c r="J71" i="45"/>
  <c r="J67" i="45"/>
  <c r="J63" i="45"/>
  <c r="J57" i="45"/>
  <c r="J49" i="45"/>
  <c r="J41" i="45"/>
  <c r="J35" i="45"/>
  <c r="J31" i="45"/>
  <c r="J17" i="45"/>
  <c r="J80" i="45"/>
  <c r="J70" i="45"/>
  <c r="J66" i="45"/>
  <c r="J62" i="45"/>
  <c r="J54" i="45"/>
  <c r="J46" i="45"/>
  <c r="J30" i="45"/>
  <c r="J24" i="45"/>
  <c r="J86" i="45"/>
  <c r="J74" i="45"/>
  <c r="J58" i="45"/>
  <c r="J50" i="45"/>
  <c r="J42" i="45"/>
  <c r="J38" i="45"/>
  <c r="J26" i="45"/>
  <c r="J18" i="45"/>
  <c r="J65" i="45"/>
  <c r="J59" i="45"/>
  <c r="H21" i="45"/>
  <c r="J79" i="45"/>
  <c r="J48" i="45"/>
  <c r="J39" i="45"/>
  <c r="J27" i="45"/>
  <c r="J61" i="45"/>
  <c r="J28" i="45"/>
  <c r="L12" i="45"/>
  <c r="N12" i="45" s="1"/>
  <c r="J82" i="45"/>
  <c r="J75" i="45"/>
  <c r="J53" i="45"/>
  <c r="J51" i="45"/>
  <c r="J40" i="45"/>
  <c r="J76" i="45"/>
  <c r="J29" i="45"/>
  <c r="J77" i="45"/>
  <c r="J43" i="45"/>
  <c r="J19" i="45"/>
  <c r="J69" i="45"/>
  <c r="J56" i="45"/>
  <c r="J45" i="45"/>
  <c r="J21" i="45"/>
  <c r="J34" i="45"/>
  <c r="J87" i="51"/>
  <c r="J92" i="51"/>
  <c r="J84" i="51"/>
  <c r="J80" i="51"/>
  <c r="J83" i="51"/>
  <c r="J77" i="51"/>
  <c r="J90" i="51"/>
  <c r="J86" i="51"/>
  <c r="J82" i="51"/>
  <c r="J93" i="51"/>
  <c r="J78" i="51"/>
  <c r="J97" i="51"/>
  <c r="J57" i="51"/>
  <c r="J41" i="51"/>
  <c r="J35" i="51"/>
  <c r="J88" i="51"/>
  <c r="J74" i="51"/>
  <c r="J70" i="51"/>
  <c r="J62" i="51"/>
  <c r="J56" i="51"/>
  <c r="H49" i="51"/>
  <c r="J40" i="51"/>
  <c r="J75" i="51"/>
  <c r="J73" i="51"/>
  <c r="J67" i="51"/>
  <c r="J55" i="51"/>
  <c r="J47" i="51"/>
  <c r="J39" i="51"/>
  <c r="J85" i="51"/>
  <c r="J79" i="51"/>
  <c r="J72" i="51"/>
  <c r="J66" i="51"/>
  <c r="J54" i="51"/>
  <c r="J46" i="51"/>
  <c r="J38" i="51"/>
  <c r="J91" i="51"/>
  <c r="J71" i="51"/>
  <c r="J63" i="51"/>
  <c r="J59" i="51"/>
  <c r="J43" i="51"/>
  <c r="J68" i="51"/>
  <c r="J58" i="51"/>
  <c r="J52" i="51"/>
  <c r="J42" i="51"/>
  <c r="J64" i="51"/>
  <c r="J61" i="51"/>
  <c r="J51" i="51"/>
  <c r="J76" i="51"/>
  <c r="J44" i="51"/>
  <c r="J81" i="51"/>
  <c r="J69" i="51"/>
  <c r="J65" i="51"/>
  <c r="J53" i="51"/>
  <c r="J45" i="51"/>
  <c r="J36" i="51"/>
  <c r="J37" i="51"/>
  <c r="J60" i="51"/>
  <c r="H27" i="47"/>
  <c r="L27" i="47" s="1"/>
  <c r="N18" i="47"/>
  <c r="D31" i="46"/>
  <c r="L12" i="51"/>
  <c r="N12" i="51" s="1"/>
  <c r="D95" i="51"/>
  <c r="L49" i="51"/>
  <c r="F49" i="51"/>
  <c r="H27" i="34"/>
  <c r="N18" i="34"/>
  <c r="T27" i="37"/>
  <c r="Z18" i="37"/>
  <c r="T27" i="34"/>
  <c r="Z18" i="34"/>
  <c r="N75" i="33"/>
  <c r="L75" i="33"/>
  <c r="D27" i="52"/>
  <c r="L18" i="52"/>
  <c r="L145" i="30"/>
  <c r="N145" i="30" s="1"/>
  <c r="V142" i="30"/>
  <c r="V130" i="30"/>
  <c r="V126" i="30"/>
  <c r="V122" i="30"/>
  <c r="V110" i="30"/>
  <c r="V98" i="30"/>
  <c r="V94" i="30"/>
  <c r="V90" i="30"/>
  <c r="V80" i="30"/>
  <c r="V74" i="30"/>
  <c r="V66" i="30"/>
  <c r="V58" i="30"/>
  <c r="V147" i="30"/>
  <c r="V137" i="30"/>
  <c r="V129" i="30"/>
  <c r="V125" i="30"/>
  <c r="V121" i="30"/>
  <c r="V113" i="30"/>
  <c r="V109" i="30"/>
  <c r="V101" i="30"/>
  <c r="V93" i="30"/>
  <c r="V89" i="30"/>
  <c r="T80" i="30"/>
  <c r="V73" i="30"/>
  <c r="V65" i="30"/>
  <c r="V57" i="30"/>
  <c r="V136" i="30"/>
  <c r="V132" i="30"/>
  <c r="V128" i="30"/>
  <c r="V116" i="30"/>
  <c r="V112" i="30"/>
  <c r="V100" i="30"/>
  <c r="V92" i="30"/>
  <c r="V88" i="30"/>
  <c r="V72" i="30"/>
  <c r="V64" i="30"/>
  <c r="V56" i="30"/>
  <c r="V145" i="30"/>
  <c r="V139" i="30"/>
  <c r="V135" i="30"/>
  <c r="V131" i="30"/>
  <c r="V115" i="30"/>
  <c r="V103" i="30"/>
  <c r="V87" i="30"/>
  <c r="V71" i="30"/>
  <c r="V63" i="30"/>
  <c r="V55" i="30"/>
  <c r="V146" i="30"/>
  <c r="V140" i="30"/>
  <c r="V124" i="30"/>
  <c r="V120" i="30"/>
  <c r="V108" i="30"/>
  <c r="V104" i="30"/>
  <c r="V96" i="30"/>
  <c r="V84" i="30"/>
  <c r="V76" i="30"/>
  <c r="V68" i="30"/>
  <c r="V60" i="30"/>
  <c r="V143" i="30"/>
  <c r="V127" i="30"/>
  <c r="V123" i="30"/>
  <c r="V119" i="30"/>
  <c r="V111" i="30"/>
  <c r="V107" i="30"/>
  <c r="V99" i="30"/>
  <c r="V95" i="30"/>
  <c r="V91" i="30"/>
  <c r="V83" i="30"/>
  <c r="V75" i="30"/>
  <c r="V67" i="30"/>
  <c r="V59" i="30"/>
  <c r="V106" i="30"/>
  <c r="V102" i="30"/>
  <c r="V70" i="30"/>
  <c r="V61" i="30"/>
  <c r="V133" i="30"/>
  <c r="V117" i="30"/>
  <c r="V54" i="30"/>
  <c r="V141" i="30"/>
  <c r="V134" i="30"/>
  <c r="V118" i="30"/>
  <c r="V77" i="30"/>
  <c r="V62" i="30"/>
  <c r="V138" i="30"/>
  <c r="V114" i="30"/>
  <c r="V85" i="30"/>
  <c r="V82" i="30"/>
  <c r="V78" i="30"/>
  <c r="V69" i="30"/>
  <c r="V151" i="30"/>
  <c r="V105" i="30"/>
  <c r="V97" i="30"/>
  <c r="V86" i="30"/>
  <c r="R111" i="36"/>
  <c r="R98" i="36"/>
  <c r="R93" i="36"/>
  <c r="R85" i="36"/>
  <c r="R82" i="36"/>
  <c r="R90" i="36"/>
  <c r="R74" i="36"/>
  <c r="R70" i="36"/>
  <c r="R67" i="36"/>
  <c r="R62" i="36"/>
  <c r="R59" i="36"/>
  <c r="R54" i="36"/>
  <c r="R104" i="36"/>
  <c r="R97" i="36"/>
  <c r="R94" i="36"/>
  <c r="R89" i="36"/>
  <c r="R81" i="36"/>
  <c r="R73" i="36"/>
  <c r="R99" i="36"/>
  <c r="R96" i="36"/>
  <c r="R87" i="36"/>
  <c r="R83" i="36"/>
  <c r="R79" i="36"/>
  <c r="R47" i="36"/>
  <c r="R88" i="36"/>
  <c r="R84" i="36"/>
  <c r="R78" i="36"/>
  <c r="R76" i="36"/>
  <c r="R75" i="36"/>
  <c r="R33" i="36"/>
  <c r="R24" i="36"/>
  <c r="R95" i="36"/>
  <c r="R52" i="36"/>
  <c r="R46" i="36"/>
  <c r="R37" i="36"/>
  <c r="R32" i="36"/>
  <c r="P24" i="36"/>
  <c r="R107" i="36"/>
  <c r="R101" i="36"/>
  <c r="R51" i="36"/>
  <c r="R50" i="36"/>
  <c r="R43" i="36"/>
  <c r="R31" i="36"/>
  <c r="R106" i="36"/>
  <c r="R102" i="36"/>
  <c r="R63" i="36"/>
  <c r="R57" i="36"/>
  <c r="R42" i="36"/>
  <c r="R30" i="36"/>
  <c r="R22" i="36"/>
  <c r="R92" i="36"/>
  <c r="R91" i="36"/>
  <c r="R48" i="36"/>
  <c r="R44" i="36"/>
  <c r="R39" i="36"/>
  <c r="R35" i="36"/>
  <c r="R20" i="36"/>
  <c r="R77" i="36"/>
  <c r="R53" i="36"/>
  <c r="R38" i="36"/>
  <c r="R34" i="36"/>
  <c r="R27" i="36"/>
  <c r="R56" i="36"/>
  <c r="R21" i="36"/>
  <c r="R80" i="36"/>
  <c r="R71" i="36"/>
  <c r="R64" i="36"/>
  <c r="R60" i="36"/>
  <c r="R41" i="36"/>
  <c r="R26" i="36"/>
  <c r="R100" i="36"/>
  <c r="R65" i="36"/>
  <c r="X12" i="36"/>
  <c r="R105" i="36"/>
  <c r="R61" i="36"/>
  <c r="R45" i="36"/>
  <c r="R86" i="36"/>
  <c r="R72" i="36"/>
  <c r="R68" i="36"/>
  <c r="R49" i="36"/>
  <c r="R58" i="36"/>
  <c r="R36" i="36"/>
  <c r="R28" i="36"/>
  <c r="R69" i="36"/>
  <c r="R66" i="36"/>
  <c r="R55" i="36"/>
  <c r="R40" i="36"/>
  <c r="R29" i="36"/>
  <c r="X18" i="23"/>
  <c r="P27" i="23"/>
  <c r="H27" i="26"/>
  <c r="N18" i="26"/>
  <c r="N27" i="25"/>
  <c r="H31" i="25"/>
  <c r="L208" i="15"/>
  <c r="P27" i="25"/>
  <c r="X18" i="25"/>
  <c r="H27" i="19"/>
  <c r="N18" i="19"/>
  <c r="L18" i="19"/>
  <c r="D27" i="19"/>
  <c r="T27" i="14"/>
  <c r="Z18" i="14"/>
  <c r="T27" i="19"/>
  <c r="Z18" i="19"/>
  <c r="V230" i="18"/>
  <c r="V220" i="18"/>
  <c r="V216" i="18"/>
  <c r="V188" i="18"/>
  <c r="V184" i="18"/>
  <c r="V176" i="18"/>
  <c r="V164" i="18"/>
  <c r="V156" i="18"/>
  <c r="V152" i="18"/>
  <c r="V144" i="18"/>
  <c r="V136" i="18"/>
  <c r="V128" i="18"/>
  <c r="V120" i="18"/>
  <c r="V112" i="18"/>
  <c r="V104" i="18"/>
  <c r="V96" i="18"/>
  <c r="V233" i="18"/>
  <c r="V219" i="18"/>
  <c r="V215" i="18"/>
  <c r="V187" i="18"/>
  <c r="V175" i="18"/>
  <c r="V163" i="18"/>
  <c r="V155" i="18"/>
  <c r="V151" i="18"/>
  <c r="V143" i="18"/>
  <c r="V135" i="18"/>
  <c r="V127" i="18"/>
  <c r="V119" i="18"/>
  <c r="V111" i="18"/>
  <c r="V103" i="18"/>
  <c r="V95" i="18"/>
  <c r="V236" i="18"/>
  <c r="V226" i="18"/>
  <c r="V222" i="18"/>
  <c r="V218" i="18"/>
  <c r="V214" i="18"/>
  <c r="V206" i="18"/>
  <c r="V190" i="18"/>
  <c r="V186" i="18"/>
  <c r="V178" i="18"/>
  <c r="V166" i="18"/>
  <c r="V154" i="18"/>
  <c r="V150" i="18"/>
  <c r="V142" i="18"/>
  <c r="V134" i="18"/>
  <c r="V126" i="18"/>
  <c r="V118" i="18"/>
  <c r="V110" i="18"/>
  <c r="V102" i="18"/>
  <c r="V94" i="18"/>
  <c r="V231" i="18"/>
  <c r="V225" i="18"/>
  <c r="V221" i="18"/>
  <c r="V213" i="18"/>
  <c r="V209" i="18"/>
  <c r="V205" i="18"/>
  <c r="V201" i="18"/>
  <c r="V197" i="18"/>
  <c r="V189" i="18"/>
  <c r="V181" i="18"/>
  <c r="V177" i="18"/>
  <c r="V169" i="18"/>
  <c r="V165" i="18"/>
  <c r="V153" i="18"/>
  <c r="V149" i="18"/>
  <c r="V133" i="18"/>
  <c r="V125" i="18"/>
  <c r="V117" i="18"/>
  <c r="V109" i="18"/>
  <c r="V101" i="18"/>
  <c r="V93" i="18"/>
  <c r="V227" i="18"/>
  <c r="V223" i="18"/>
  <c r="V211" i="18"/>
  <c r="V207" i="18"/>
  <c r="V203" i="18"/>
  <c r="V199" i="18"/>
  <c r="V195" i="18"/>
  <c r="V191" i="18"/>
  <c r="V183" i="18"/>
  <c r="V179" i="18"/>
  <c r="V171" i="18"/>
  <c r="V167" i="18"/>
  <c r="V159" i="18"/>
  <c r="V147" i="18"/>
  <c r="V131" i="18"/>
  <c r="V123" i="18"/>
  <c r="V115" i="18"/>
  <c r="V107" i="18"/>
  <c r="V99" i="18"/>
  <c r="V240" i="18"/>
  <c r="V232" i="18"/>
  <c r="V210" i="18"/>
  <c r="V202" i="18"/>
  <c r="V198" i="18"/>
  <c r="V194" i="18"/>
  <c r="V182" i="18"/>
  <c r="V174" i="18"/>
  <c r="V170" i="18"/>
  <c r="V162" i="18"/>
  <c r="V158" i="18"/>
  <c r="V146" i="18"/>
  <c r="V130" i="18"/>
  <c r="V122" i="18"/>
  <c r="V114" i="18"/>
  <c r="V106" i="18"/>
  <c r="V98" i="18"/>
  <c r="V235" i="18"/>
  <c r="V217" i="18"/>
  <c r="V193" i="18"/>
  <c r="V185" i="18"/>
  <c r="V173" i="18"/>
  <c r="V161" i="18"/>
  <c r="V157" i="18"/>
  <c r="V145" i="18"/>
  <c r="V141" i="18"/>
  <c r="V137" i="18"/>
  <c r="V129" i="18"/>
  <c r="V121" i="18"/>
  <c r="V113" i="18"/>
  <c r="V105" i="18"/>
  <c r="V97" i="18"/>
  <c r="V208" i="18"/>
  <c r="V180" i="18"/>
  <c r="V108" i="18"/>
  <c r="V92" i="18"/>
  <c r="V212" i="18"/>
  <c r="V196" i="18"/>
  <c r="V148" i="18"/>
  <c r="V132" i="18"/>
  <c r="V200" i="18"/>
  <c r="V168" i="18"/>
  <c r="V116" i="18"/>
  <c r="V100" i="18"/>
  <c r="V204" i="18"/>
  <c r="V192" i="18"/>
  <c r="V160" i="18"/>
  <c r="T139" i="18"/>
  <c r="V139" i="18" s="1"/>
  <c r="V124" i="18"/>
  <c r="V234" i="18"/>
  <c r="V172" i="18"/>
  <c r="V228" i="18"/>
  <c r="V224" i="18"/>
  <c r="H27" i="7"/>
  <c r="N18" i="7"/>
  <c r="T27" i="5"/>
  <c r="Z18" i="5"/>
  <c r="P87" i="9"/>
  <c r="X16" i="9"/>
  <c r="X18" i="14"/>
  <c r="P27" i="14"/>
  <c r="D87" i="9"/>
  <c r="L16" i="9"/>
  <c r="X246" i="3"/>
  <c r="R72" i="94"/>
  <c r="R80" i="94"/>
  <c r="R69" i="94"/>
  <c r="R53" i="94"/>
  <c r="R50" i="94"/>
  <c r="R45" i="94"/>
  <c r="R42" i="94"/>
  <c r="R34" i="94"/>
  <c r="R29" i="94"/>
  <c r="P21" i="94"/>
  <c r="R68" i="94"/>
  <c r="R28" i="94"/>
  <c r="X12" i="94"/>
  <c r="R67" i="94"/>
  <c r="R55" i="94"/>
  <c r="R52" i="94"/>
  <c r="R47" i="94"/>
  <c r="R44" i="94"/>
  <c r="R39" i="94"/>
  <c r="R27" i="94"/>
  <c r="R19" i="94"/>
  <c r="R73" i="94"/>
  <c r="R66" i="94"/>
  <c r="R62" i="94"/>
  <c r="R58" i="94"/>
  <c r="R38" i="94"/>
  <c r="R26" i="94"/>
  <c r="R23" i="94"/>
  <c r="R18" i="94"/>
  <c r="R74" i="94"/>
  <c r="R65" i="94"/>
  <c r="R61" i="94"/>
  <c r="R57" i="94"/>
  <c r="R54" i="94"/>
  <c r="R49" i="94"/>
  <c r="R46" i="94"/>
  <c r="R41" i="94"/>
  <c r="R37" i="94"/>
  <c r="R33" i="94"/>
  <c r="R25" i="94"/>
  <c r="R76" i="94"/>
  <c r="R71" i="94"/>
  <c r="R64" i="94"/>
  <c r="R60" i="94"/>
  <c r="R36" i="94"/>
  <c r="R32" i="94"/>
  <c r="R17" i="94"/>
  <c r="R24" i="94"/>
  <c r="R70" i="94"/>
  <c r="R59" i="94"/>
  <c r="R51" i="94"/>
  <c r="R56" i="94"/>
  <c r="R48" i="94"/>
  <c r="R43" i="94"/>
  <c r="R30" i="94"/>
  <c r="R31" i="94"/>
  <c r="R63" i="94"/>
  <c r="R40" i="94"/>
  <c r="R35" i="94"/>
  <c r="D74" i="76"/>
  <c r="J67" i="70"/>
  <c r="J66" i="70"/>
  <c r="J73" i="70"/>
  <c r="J69" i="70"/>
  <c r="J58" i="70"/>
  <c r="J46" i="70"/>
  <c r="J34" i="70"/>
  <c r="H27" i="70"/>
  <c r="J68" i="70"/>
  <c r="J65" i="70"/>
  <c r="J61" i="70"/>
  <c r="J57" i="70"/>
  <c r="J51" i="70"/>
  <c r="J43" i="70"/>
  <c r="J39" i="70"/>
  <c r="J33" i="70"/>
  <c r="J64" i="70"/>
  <c r="J54" i="70"/>
  <c r="J48" i="70"/>
  <c r="J32" i="70"/>
  <c r="J63" i="70"/>
  <c r="J45" i="70"/>
  <c r="J31" i="70"/>
  <c r="J29" i="70"/>
  <c r="J25" i="70"/>
  <c r="J60" i="70"/>
  <c r="J56" i="70"/>
  <c r="J50" i="70"/>
  <c r="J42" i="70"/>
  <c r="J38" i="70"/>
  <c r="J78" i="70"/>
  <c r="J71" i="70"/>
  <c r="J62" i="70"/>
  <c r="J52" i="70"/>
  <c r="J44" i="70"/>
  <c r="J40" i="70"/>
  <c r="J36" i="70"/>
  <c r="J30" i="70"/>
  <c r="J70" i="70"/>
  <c r="J41" i="70"/>
  <c r="J47" i="70"/>
  <c r="J55" i="70"/>
  <c r="J49" i="70"/>
  <c r="J27" i="70"/>
  <c r="J74" i="70"/>
  <c r="J53" i="70"/>
  <c r="J59" i="70"/>
  <c r="J37" i="70"/>
  <c r="J35" i="70"/>
  <c r="V59" i="64"/>
  <c r="V51" i="64"/>
  <c r="V47" i="64"/>
  <c r="V43" i="64"/>
  <c r="V35" i="64"/>
  <c r="V27" i="64"/>
  <c r="V62" i="64"/>
  <c r="V50" i="64"/>
  <c r="V46" i="64"/>
  <c r="V42" i="64"/>
  <c r="V34" i="64"/>
  <c r="V79" i="64"/>
  <c r="V73" i="64"/>
  <c r="V65" i="64"/>
  <c r="V61" i="64"/>
  <c r="V53" i="64"/>
  <c r="V33" i="64"/>
  <c r="V72" i="64"/>
  <c r="V68" i="64"/>
  <c r="V64" i="64"/>
  <c r="V56" i="64"/>
  <c r="V52" i="64"/>
  <c r="T39" i="64"/>
  <c r="V39" i="64" s="1"/>
  <c r="V32" i="64"/>
  <c r="V75" i="64"/>
  <c r="V71" i="64"/>
  <c r="V67" i="64"/>
  <c r="V63" i="64"/>
  <c r="V55" i="64"/>
  <c r="V31" i="64"/>
  <c r="V83" i="64"/>
  <c r="V77" i="64"/>
  <c r="V69" i="64"/>
  <c r="V57" i="64"/>
  <c r="V49" i="64"/>
  <c r="V45" i="64"/>
  <c r="V41" i="64"/>
  <c r="V37" i="64"/>
  <c r="V29" i="64"/>
  <c r="V74" i="64"/>
  <c r="V60" i="64"/>
  <c r="V28" i="64"/>
  <c r="V70" i="64"/>
  <c r="V54" i="64"/>
  <c r="V76" i="64"/>
  <c r="V36" i="64"/>
  <c r="V48" i="64"/>
  <c r="V44" i="64"/>
  <c r="V66" i="64"/>
  <c r="V58" i="64"/>
  <c r="V30" i="64"/>
  <c r="H22" i="54"/>
  <c r="N16" i="54"/>
  <c r="P27" i="49"/>
  <c r="X18" i="49"/>
  <c r="J82" i="42"/>
  <c r="J74" i="42"/>
  <c r="J66" i="42"/>
  <c r="J60" i="42"/>
  <c r="J52" i="42"/>
  <c r="J46" i="42"/>
  <c r="J30" i="42"/>
  <c r="H23" i="42"/>
  <c r="J93" i="42"/>
  <c r="J89" i="42"/>
  <c r="J81" i="42"/>
  <c r="J73" i="42"/>
  <c r="J69" i="42"/>
  <c r="J65" i="42"/>
  <c r="J57" i="42"/>
  <c r="J49" i="42"/>
  <c r="J43" i="42"/>
  <c r="J35" i="42"/>
  <c r="J29" i="42"/>
  <c r="J21" i="42"/>
  <c r="J96" i="42"/>
  <c r="J86" i="42"/>
  <c r="J80" i="42"/>
  <c r="J76" i="42"/>
  <c r="J72" i="42"/>
  <c r="J62" i="42"/>
  <c r="J54" i="42"/>
  <c r="J48" i="42"/>
  <c r="J40" i="42"/>
  <c r="J28" i="42"/>
  <c r="J20" i="42"/>
  <c r="J91" i="42"/>
  <c r="J79" i="42"/>
  <c r="J71" i="42"/>
  <c r="J59" i="42"/>
  <c r="J51" i="42"/>
  <c r="J45" i="42"/>
  <c r="J39" i="42"/>
  <c r="J27" i="42"/>
  <c r="J25" i="42"/>
  <c r="J100" i="42"/>
  <c r="J94" i="42"/>
  <c r="J88" i="42"/>
  <c r="J78" i="42"/>
  <c r="J68" i="42"/>
  <c r="J64" i="42"/>
  <c r="J56" i="42"/>
  <c r="J42" i="42"/>
  <c r="J38" i="42"/>
  <c r="J34" i="42"/>
  <c r="J85" i="42"/>
  <c r="J75" i="42"/>
  <c r="J61" i="42"/>
  <c r="J53" i="42"/>
  <c r="J47" i="42"/>
  <c r="J37" i="42"/>
  <c r="J33" i="42"/>
  <c r="J19" i="42"/>
  <c r="J90" i="42"/>
  <c r="J84" i="42"/>
  <c r="J70" i="42"/>
  <c r="J58" i="42"/>
  <c r="J50" i="42"/>
  <c r="J44" i="42"/>
  <c r="J36" i="42"/>
  <c r="J32" i="42"/>
  <c r="J26" i="42"/>
  <c r="J67" i="42"/>
  <c r="J41" i="42"/>
  <c r="J95" i="42"/>
  <c r="J83" i="42"/>
  <c r="J31" i="42"/>
  <c r="J23" i="42"/>
  <c r="J55" i="42"/>
  <c r="J77" i="42"/>
  <c r="J87" i="42"/>
  <c r="J63" i="42"/>
  <c r="R146" i="30"/>
  <c r="R143" i="30"/>
  <c r="R140" i="30"/>
  <c r="R127" i="30"/>
  <c r="R123" i="30"/>
  <c r="R111" i="30"/>
  <c r="R104" i="30"/>
  <c r="R99" i="30"/>
  <c r="R95" i="30"/>
  <c r="R91" i="30"/>
  <c r="R75" i="30"/>
  <c r="R67" i="30"/>
  <c r="R59" i="30"/>
  <c r="R130" i="30"/>
  <c r="R126" i="30"/>
  <c r="R122" i="30"/>
  <c r="R119" i="30"/>
  <c r="R110" i="30"/>
  <c r="R107" i="30"/>
  <c r="R94" i="30"/>
  <c r="R90" i="30"/>
  <c r="R83" i="30"/>
  <c r="R74" i="30"/>
  <c r="R66" i="30"/>
  <c r="R58" i="30"/>
  <c r="R142" i="30"/>
  <c r="R137" i="30"/>
  <c r="R129" i="30"/>
  <c r="R113" i="30"/>
  <c r="R101" i="30"/>
  <c r="R98" i="30"/>
  <c r="R93" i="30"/>
  <c r="R89" i="30"/>
  <c r="R80" i="30"/>
  <c r="R73" i="30"/>
  <c r="R65" i="30"/>
  <c r="R57" i="30"/>
  <c r="R147" i="30"/>
  <c r="R136" i="30"/>
  <c r="R132" i="30"/>
  <c r="R125" i="30"/>
  <c r="R121" i="30"/>
  <c r="R116" i="30"/>
  <c r="R109" i="30"/>
  <c r="R88" i="30"/>
  <c r="P80" i="30"/>
  <c r="R72" i="30"/>
  <c r="R64" i="30"/>
  <c r="R56" i="30"/>
  <c r="R151" i="30"/>
  <c r="R141" i="30"/>
  <c r="R138" i="30"/>
  <c r="R114" i="30"/>
  <c r="R105" i="30"/>
  <c r="R102" i="30"/>
  <c r="R97" i="30"/>
  <c r="R85" i="30"/>
  <c r="R82" i="30"/>
  <c r="R77" i="30"/>
  <c r="R69" i="30"/>
  <c r="R61" i="30"/>
  <c r="R54" i="30"/>
  <c r="R133" i="30"/>
  <c r="R124" i="30"/>
  <c r="R120" i="30"/>
  <c r="R117" i="30"/>
  <c r="R108" i="30"/>
  <c r="R96" i="30"/>
  <c r="R84" i="30"/>
  <c r="R76" i="30"/>
  <c r="R68" i="30"/>
  <c r="R60" i="30"/>
  <c r="X12" i="30"/>
  <c r="Z12" i="30" s="1"/>
  <c r="R86" i="30"/>
  <c r="R139" i="30"/>
  <c r="R115" i="30"/>
  <c r="R112" i="30"/>
  <c r="R106" i="30"/>
  <c r="R70" i="30"/>
  <c r="R87" i="30"/>
  <c r="R71" i="30"/>
  <c r="R145" i="30"/>
  <c r="R103" i="30"/>
  <c r="R100" i="30"/>
  <c r="R134" i="30"/>
  <c r="R118" i="30"/>
  <c r="R62" i="30"/>
  <c r="R128" i="30"/>
  <c r="R135" i="30"/>
  <c r="R131" i="30"/>
  <c r="R92" i="30"/>
  <c r="R78" i="30"/>
  <c r="R63" i="30"/>
  <c r="R55" i="30"/>
  <c r="P31" i="29"/>
  <c r="V73" i="21"/>
  <c r="V61" i="21"/>
  <c r="V53" i="21"/>
  <c r="V49" i="21"/>
  <c r="V41" i="21"/>
  <c r="V37" i="21"/>
  <c r="V27" i="21"/>
  <c r="V76" i="21"/>
  <c r="V72" i="21"/>
  <c r="V68" i="21"/>
  <c r="V64" i="21"/>
  <c r="V60" i="21"/>
  <c r="V52" i="21"/>
  <c r="V44" i="21"/>
  <c r="V40" i="21"/>
  <c r="V36" i="21"/>
  <c r="T27" i="21"/>
  <c r="V84" i="21"/>
  <c r="V78" i="21"/>
  <c r="V70" i="21"/>
  <c r="V66" i="21"/>
  <c r="V54" i="21"/>
  <c r="V46" i="21"/>
  <c r="V34" i="21"/>
  <c r="V77" i="21"/>
  <c r="V69" i="21"/>
  <c r="V65" i="21"/>
  <c r="V57" i="21"/>
  <c r="V45" i="21"/>
  <c r="V56" i="21"/>
  <c r="V48" i="21"/>
  <c r="V32" i="21"/>
  <c r="V59" i="21"/>
  <c r="V51" i="21"/>
  <c r="V47" i="21"/>
  <c r="V31" i="21"/>
  <c r="V63" i="21"/>
  <c r="V43" i="21"/>
  <c r="V33" i="21"/>
  <c r="V29" i="21"/>
  <c r="V50" i="21"/>
  <c r="V39" i="21"/>
  <c r="V80" i="21"/>
  <c r="V75" i="21"/>
  <c r="V71" i="21"/>
  <c r="V67" i="21"/>
  <c r="V62" i="21"/>
  <c r="V74" i="21"/>
  <c r="V38" i="21"/>
  <c r="V58" i="21"/>
  <c r="V30" i="21"/>
  <c r="V25" i="21"/>
  <c r="V42" i="21"/>
  <c r="V35" i="21"/>
  <c r="V23" i="21"/>
  <c r="V55" i="21"/>
  <c r="V24" i="21"/>
  <c r="N18" i="99"/>
  <c r="H27" i="99"/>
  <c r="T24" i="96"/>
  <c r="Z16" i="96"/>
  <c r="P85" i="95"/>
  <c r="D50" i="90"/>
  <c r="T71" i="81"/>
  <c r="Z16" i="81"/>
  <c r="T34" i="89"/>
  <c r="Z16" i="83"/>
  <c r="T38" i="83"/>
  <c r="T34" i="84"/>
  <c r="D23" i="87"/>
  <c r="L17" i="87"/>
  <c r="D34" i="84"/>
  <c r="T36" i="80"/>
  <c r="V31" i="75"/>
  <c r="V25" i="75"/>
  <c r="V20" i="75"/>
  <c r="V19" i="75"/>
  <c r="T23" i="75"/>
  <c r="V27" i="75"/>
  <c r="V18" i="75"/>
  <c r="V21" i="75"/>
  <c r="L20" i="78"/>
  <c r="D28" i="78"/>
  <c r="V93" i="77"/>
  <c r="V89" i="77"/>
  <c r="V73" i="77"/>
  <c r="V65" i="77"/>
  <c r="V57" i="77"/>
  <c r="V53" i="77"/>
  <c r="V37" i="77"/>
  <c r="V96" i="77"/>
  <c r="V88" i="77"/>
  <c r="V76" i="77"/>
  <c r="V68" i="77"/>
  <c r="V52" i="77"/>
  <c r="V36" i="77"/>
  <c r="V95" i="77"/>
  <c r="V75" i="77"/>
  <c r="V67" i="77"/>
  <c r="V51" i="77"/>
  <c r="V47" i="77"/>
  <c r="V43" i="77"/>
  <c r="V104" i="77"/>
  <c r="V98" i="77"/>
  <c r="V82" i="77"/>
  <c r="V78" i="77"/>
  <c r="V70" i="77"/>
  <c r="V62" i="77"/>
  <c r="V50" i="77"/>
  <c r="V42" i="77"/>
  <c r="V97" i="77"/>
  <c r="V85" i="77"/>
  <c r="V81" i="77"/>
  <c r="V77" i="77"/>
  <c r="V69" i="77"/>
  <c r="V61" i="77"/>
  <c r="V49" i="77"/>
  <c r="V41" i="77"/>
  <c r="V92" i="77"/>
  <c r="V84" i="77"/>
  <c r="V80" i="77"/>
  <c r="V72" i="77"/>
  <c r="V64" i="77"/>
  <c r="V60" i="77"/>
  <c r="V56" i="77"/>
  <c r="V48" i="77"/>
  <c r="V40" i="77"/>
  <c r="V71" i="77"/>
  <c r="V86" i="77"/>
  <c r="V94" i="77"/>
  <c r="V90" i="77"/>
  <c r="V83" i="77"/>
  <c r="V79" i="77"/>
  <c r="V58" i="77"/>
  <c r="V54" i="77"/>
  <c r="V87" i="77"/>
  <c r="V91" i="77"/>
  <c r="V66" i="77"/>
  <c r="V59" i="77"/>
  <c r="V55" i="77"/>
  <c r="T45" i="77"/>
  <c r="V45" i="77" s="1"/>
  <c r="V38" i="77"/>
  <c r="V100" i="77"/>
  <c r="V63" i="77"/>
  <c r="V74" i="77"/>
  <c r="V39" i="77"/>
  <c r="R84" i="71"/>
  <c r="R80" i="71"/>
  <c r="R77" i="71"/>
  <c r="R64" i="71"/>
  <c r="R60" i="71"/>
  <c r="R44" i="71"/>
  <c r="R36" i="71"/>
  <c r="X12" i="71"/>
  <c r="R90" i="71"/>
  <c r="R83" i="71"/>
  <c r="R71" i="71"/>
  <c r="R68" i="71"/>
  <c r="R63" i="71"/>
  <c r="R59" i="71"/>
  <c r="R52" i="71"/>
  <c r="R43" i="71"/>
  <c r="R93" i="71"/>
  <c r="R86" i="71"/>
  <c r="R82" i="71"/>
  <c r="R79" i="71"/>
  <c r="R58" i="71"/>
  <c r="R42" i="71"/>
  <c r="R35" i="71"/>
  <c r="R91" i="71"/>
  <c r="R88" i="71"/>
  <c r="R85" i="71"/>
  <c r="R81" i="71"/>
  <c r="R76" i="71"/>
  <c r="R87" i="71"/>
  <c r="R37" i="71"/>
  <c r="R70" i="71"/>
  <c r="R45" i="71"/>
  <c r="R38" i="71"/>
  <c r="R74" i="71"/>
  <c r="R61" i="71"/>
  <c r="R53" i="71"/>
  <c r="R46" i="71"/>
  <c r="R39" i="71"/>
  <c r="R92" i="71"/>
  <c r="R75" i="71"/>
  <c r="R73" i="71"/>
  <c r="R72" i="71"/>
  <c r="R69" i="71"/>
  <c r="R65" i="71"/>
  <c r="R54" i="71"/>
  <c r="R47" i="71"/>
  <c r="R41" i="71"/>
  <c r="R40" i="71"/>
  <c r="R66" i="71"/>
  <c r="R55" i="71"/>
  <c r="P49" i="71"/>
  <c r="R97" i="71"/>
  <c r="R57" i="71"/>
  <c r="R78" i="71"/>
  <c r="R56" i="71"/>
  <c r="R51" i="71"/>
  <c r="R67" i="71"/>
  <c r="R62" i="71"/>
  <c r="Z90" i="71"/>
  <c r="N90" i="71"/>
  <c r="F78" i="70"/>
  <c r="F70" i="70"/>
  <c r="F67" i="70"/>
  <c r="F73" i="70"/>
  <c r="F69" i="70"/>
  <c r="F62" i="70"/>
  <c r="F59" i="70"/>
  <c r="F55" i="70"/>
  <c r="F35" i="70"/>
  <c r="F30" i="70"/>
  <c r="F58" i="70"/>
  <c r="F49" i="70"/>
  <c r="F46" i="70"/>
  <c r="F34" i="70"/>
  <c r="F66" i="70"/>
  <c r="F65" i="70"/>
  <c r="F61" i="70"/>
  <c r="F57" i="70"/>
  <c r="F33" i="70"/>
  <c r="D27" i="70"/>
  <c r="F68" i="70"/>
  <c r="F64" i="70"/>
  <c r="F51" i="70"/>
  <c r="F48" i="70"/>
  <c r="F43" i="70"/>
  <c r="F39" i="70"/>
  <c r="F32" i="70"/>
  <c r="F63" i="70"/>
  <c r="F54" i="70"/>
  <c r="F31" i="70"/>
  <c r="F60" i="70"/>
  <c r="F56" i="70"/>
  <c r="F53" i="70"/>
  <c r="F41" i="70"/>
  <c r="F37" i="70"/>
  <c r="F52" i="70"/>
  <c r="F38" i="70"/>
  <c r="F36" i="70"/>
  <c r="F25" i="70"/>
  <c r="F71" i="70"/>
  <c r="F42" i="70"/>
  <c r="F50" i="70"/>
  <c r="F47" i="70"/>
  <c r="F40" i="70"/>
  <c r="F29" i="70"/>
  <c r="F44" i="70"/>
  <c r="L12" i="70"/>
  <c r="N12" i="70" s="1"/>
  <c r="F74" i="70"/>
  <c r="F45" i="70"/>
  <c r="J97" i="71"/>
  <c r="J91" i="71"/>
  <c r="J85" i="71"/>
  <c r="J81" i="71"/>
  <c r="J75" i="71"/>
  <c r="J67" i="71"/>
  <c r="J55" i="71"/>
  <c r="J47" i="71"/>
  <c r="J39" i="71"/>
  <c r="J78" i="71"/>
  <c r="J72" i="71"/>
  <c r="J66" i="71"/>
  <c r="J54" i="71"/>
  <c r="J46" i="71"/>
  <c r="J38" i="71"/>
  <c r="J87" i="71"/>
  <c r="J69" i="71"/>
  <c r="J65" i="71"/>
  <c r="J61" i="71"/>
  <c r="J53" i="71"/>
  <c r="J51" i="71"/>
  <c r="J45" i="71"/>
  <c r="J37" i="71"/>
  <c r="J83" i="71"/>
  <c r="J77" i="71"/>
  <c r="J71" i="71"/>
  <c r="J84" i="71"/>
  <c r="J79" i="71"/>
  <c r="J76" i="71"/>
  <c r="J58" i="71"/>
  <c r="J57" i="71"/>
  <c r="J56" i="71"/>
  <c r="H49" i="71"/>
  <c r="J43" i="71"/>
  <c r="J86" i="71"/>
  <c r="J80" i="71"/>
  <c r="J59" i="71"/>
  <c r="J36" i="71"/>
  <c r="J63" i="71"/>
  <c r="J44" i="71"/>
  <c r="J35" i="71"/>
  <c r="J82" i="71"/>
  <c r="J62" i="71"/>
  <c r="J60" i="71"/>
  <c r="J93" i="71"/>
  <c r="J88" i="71"/>
  <c r="J74" i="71"/>
  <c r="J64" i="71"/>
  <c r="J73" i="71"/>
  <c r="J68" i="71"/>
  <c r="J41" i="71"/>
  <c r="J40" i="71"/>
  <c r="J92" i="71"/>
  <c r="J49" i="71"/>
  <c r="J90" i="71"/>
  <c r="J42" i="71"/>
  <c r="J52" i="71"/>
  <c r="J70" i="71"/>
  <c r="R74" i="70"/>
  <c r="R71" i="70"/>
  <c r="R68" i="70"/>
  <c r="R67" i="70"/>
  <c r="R63" i="70"/>
  <c r="R60" i="70"/>
  <c r="R56" i="70"/>
  <c r="R31" i="70"/>
  <c r="R50" i="70"/>
  <c r="R47" i="70"/>
  <c r="R42" i="70"/>
  <c r="R38" i="70"/>
  <c r="R62" i="70"/>
  <c r="R53" i="70"/>
  <c r="R41" i="70"/>
  <c r="R37" i="70"/>
  <c r="R30" i="70"/>
  <c r="R78" i="70"/>
  <c r="R70" i="70"/>
  <c r="R52" i="70"/>
  <c r="R49" i="70"/>
  <c r="R44" i="70"/>
  <c r="R40" i="70"/>
  <c r="R36" i="70"/>
  <c r="X12" i="70"/>
  <c r="R59" i="70"/>
  <c r="R55" i="70"/>
  <c r="R35" i="70"/>
  <c r="P27" i="70"/>
  <c r="R27" i="70" s="1"/>
  <c r="R69" i="70"/>
  <c r="R61" i="70"/>
  <c r="R57" i="70"/>
  <c r="R54" i="70"/>
  <c r="R33" i="70"/>
  <c r="R58" i="70"/>
  <c r="R48" i="70"/>
  <c r="R43" i="70"/>
  <c r="R73" i="70"/>
  <c r="R65" i="70"/>
  <c r="R34" i="70"/>
  <c r="R51" i="70"/>
  <c r="R32" i="70"/>
  <c r="R45" i="70"/>
  <c r="R29" i="70"/>
  <c r="R66" i="70"/>
  <c r="R39" i="70"/>
  <c r="R25" i="70"/>
  <c r="R64" i="70"/>
  <c r="R46" i="70"/>
  <c r="F117" i="69"/>
  <c r="F108" i="69"/>
  <c r="F101" i="69"/>
  <c r="F93" i="69"/>
  <c r="F89" i="69"/>
  <c r="F73" i="69"/>
  <c r="F65" i="69"/>
  <c r="F57" i="69"/>
  <c r="F127" i="69"/>
  <c r="F124" i="69"/>
  <c r="F120" i="69"/>
  <c r="F111" i="69"/>
  <c r="F104" i="69"/>
  <c r="F88" i="69"/>
  <c r="F83" i="69"/>
  <c r="F72" i="69"/>
  <c r="F64" i="69"/>
  <c r="F56" i="69"/>
  <c r="F132" i="69"/>
  <c r="F123" i="69"/>
  <c r="F107" i="69"/>
  <c r="F98" i="69"/>
  <c r="F87" i="69"/>
  <c r="F71" i="69"/>
  <c r="F63" i="69"/>
  <c r="F55" i="69"/>
  <c r="F136" i="69"/>
  <c r="F126" i="69"/>
  <c r="F122" i="69"/>
  <c r="F113" i="69"/>
  <c r="F110" i="69"/>
  <c r="F106" i="69"/>
  <c r="F86" i="69"/>
  <c r="D80" i="69"/>
  <c r="F78" i="69"/>
  <c r="F70" i="69"/>
  <c r="F62" i="69"/>
  <c r="F130" i="69"/>
  <c r="F116" i="69"/>
  <c r="F109" i="69"/>
  <c r="F100" i="69"/>
  <c r="F97" i="69"/>
  <c r="F92" i="69"/>
  <c r="F85" i="69"/>
  <c r="F77" i="69"/>
  <c r="F69" i="69"/>
  <c r="F61" i="69"/>
  <c r="F115" i="69"/>
  <c r="F99" i="69"/>
  <c r="F95" i="69"/>
  <c r="F91" i="69"/>
  <c r="F82" i="69"/>
  <c r="F75" i="69"/>
  <c r="F67" i="69"/>
  <c r="F59" i="69"/>
  <c r="F54" i="69"/>
  <c r="F118" i="69"/>
  <c r="F102" i="69"/>
  <c r="F119" i="69"/>
  <c r="F103" i="69"/>
  <c r="F96" i="69"/>
  <c r="F94" i="69"/>
  <c r="F60" i="69"/>
  <c r="F112" i="69"/>
  <c r="F105" i="69"/>
  <c r="F68" i="69"/>
  <c r="L12" i="69"/>
  <c r="F131" i="69"/>
  <c r="F125" i="69"/>
  <c r="F121" i="69"/>
  <c r="F76" i="69"/>
  <c r="F66" i="69"/>
  <c r="F58" i="69"/>
  <c r="F74" i="69"/>
  <c r="F114" i="69"/>
  <c r="F84" i="69"/>
  <c r="F90" i="69"/>
  <c r="F128" i="69"/>
  <c r="V101" i="66"/>
  <c r="V97" i="66"/>
  <c r="V85" i="66"/>
  <c r="V77" i="66"/>
  <c r="V73" i="66"/>
  <c r="V61" i="66"/>
  <c r="V57" i="66"/>
  <c r="V53" i="66"/>
  <c r="V45" i="66"/>
  <c r="V106" i="66"/>
  <c r="V100" i="66"/>
  <c r="V96" i="66"/>
  <c r="V84" i="66"/>
  <c r="V76" i="66"/>
  <c r="V72" i="66"/>
  <c r="V60" i="66"/>
  <c r="V103" i="66"/>
  <c r="V99" i="66"/>
  <c r="V87" i="66"/>
  <c r="V79" i="66"/>
  <c r="V71" i="66"/>
  <c r="V67" i="66"/>
  <c r="V59" i="66"/>
  <c r="V51" i="66"/>
  <c r="V43" i="66"/>
  <c r="V112" i="66"/>
  <c r="V102" i="66"/>
  <c r="V86" i="66"/>
  <c r="V78" i="66"/>
  <c r="V70" i="66"/>
  <c r="V66" i="66"/>
  <c r="V58" i="66"/>
  <c r="V50" i="66"/>
  <c r="V42" i="66"/>
  <c r="V107" i="66"/>
  <c r="V93" i="66"/>
  <c r="V89" i="66"/>
  <c r="V81" i="66"/>
  <c r="V69" i="66"/>
  <c r="V65" i="66"/>
  <c r="V49" i="66"/>
  <c r="V41" i="66"/>
  <c r="V92" i="66"/>
  <c r="V88" i="66"/>
  <c r="V80" i="66"/>
  <c r="V68" i="66"/>
  <c r="V64" i="66"/>
  <c r="T55" i="66"/>
  <c r="V48" i="66"/>
  <c r="V98" i="66"/>
  <c r="V75" i="66"/>
  <c r="V63" i="66"/>
  <c r="V95" i="66"/>
  <c r="V91" i="66"/>
  <c r="V52" i="66"/>
  <c r="V83" i="66"/>
  <c r="V46" i="66"/>
  <c r="V105" i="66"/>
  <c r="V108" i="66"/>
  <c r="V94" i="66"/>
  <c r="V74" i="66"/>
  <c r="V47" i="66"/>
  <c r="V44" i="66"/>
  <c r="V40" i="66"/>
  <c r="V39" i="66"/>
  <c r="V62" i="66"/>
  <c r="V90" i="66"/>
  <c r="V82" i="66"/>
  <c r="V38" i="66"/>
  <c r="D48" i="67"/>
  <c r="L21" i="67"/>
  <c r="D30" i="55"/>
  <c r="L16" i="55"/>
  <c r="T49" i="60"/>
  <c r="T62" i="48"/>
  <c r="D31" i="50"/>
  <c r="P88" i="45"/>
  <c r="X21" i="45"/>
  <c r="Z21" i="45" s="1"/>
  <c r="D31" i="47"/>
  <c r="Z27" i="46"/>
  <c r="T31" i="46"/>
  <c r="D27" i="35"/>
  <c r="L18" i="35"/>
  <c r="N27" i="41"/>
  <c r="H31" i="41"/>
  <c r="Z27" i="43"/>
  <c r="T31" i="43"/>
  <c r="J134" i="30"/>
  <c r="J128" i="30"/>
  <c r="J118" i="30"/>
  <c r="J112" i="30"/>
  <c r="J106" i="30"/>
  <c r="J100" i="30"/>
  <c r="J92" i="30"/>
  <c r="J86" i="30"/>
  <c r="J78" i="30"/>
  <c r="J70" i="30"/>
  <c r="J62" i="30"/>
  <c r="J151" i="30"/>
  <c r="J145" i="30"/>
  <c r="J141" i="30"/>
  <c r="J131" i="30"/>
  <c r="J105" i="30"/>
  <c r="J97" i="30"/>
  <c r="J85" i="30"/>
  <c r="J77" i="30"/>
  <c r="J69" i="30"/>
  <c r="J61" i="30"/>
  <c r="J138" i="30"/>
  <c r="J124" i="30"/>
  <c r="J120" i="30"/>
  <c r="J114" i="30"/>
  <c r="J108" i="30"/>
  <c r="J102" i="30"/>
  <c r="J96" i="30"/>
  <c r="J84" i="30"/>
  <c r="J82" i="30"/>
  <c r="J76" i="30"/>
  <c r="J68" i="30"/>
  <c r="J60" i="30"/>
  <c r="J54" i="30"/>
  <c r="J143" i="30"/>
  <c r="J133" i="30"/>
  <c r="J127" i="30"/>
  <c r="J123" i="30"/>
  <c r="J117" i="30"/>
  <c r="J111" i="30"/>
  <c r="J99" i="30"/>
  <c r="J95" i="30"/>
  <c r="J91" i="30"/>
  <c r="J75" i="30"/>
  <c r="J67" i="30"/>
  <c r="J59" i="30"/>
  <c r="J142" i="30"/>
  <c r="J136" i="30"/>
  <c r="J132" i="30"/>
  <c r="J116" i="30"/>
  <c r="J98" i="30"/>
  <c r="J88" i="30"/>
  <c r="J80" i="30"/>
  <c r="J72" i="30"/>
  <c r="J64" i="30"/>
  <c r="J56" i="30"/>
  <c r="J147" i="30"/>
  <c r="J139" i="30"/>
  <c r="J135" i="30"/>
  <c r="J125" i="30"/>
  <c r="J121" i="30"/>
  <c r="J115" i="30"/>
  <c r="J109" i="30"/>
  <c r="J103" i="30"/>
  <c r="J87" i="30"/>
  <c r="H80" i="30"/>
  <c r="J71" i="30"/>
  <c r="J63" i="30"/>
  <c r="J55" i="30"/>
  <c r="J101" i="30"/>
  <c r="J89" i="30"/>
  <c r="J83" i="30"/>
  <c r="J58" i="30"/>
  <c r="J107" i="30"/>
  <c r="J73" i="30"/>
  <c r="J140" i="30"/>
  <c r="J129" i="30"/>
  <c r="J126" i="30"/>
  <c r="J122" i="30"/>
  <c r="J93" i="30"/>
  <c r="J90" i="30"/>
  <c r="J74" i="30"/>
  <c r="J137" i="30"/>
  <c r="J130" i="30"/>
  <c r="J119" i="30"/>
  <c r="J113" i="30"/>
  <c r="J104" i="30"/>
  <c r="J65" i="30"/>
  <c r="J57" i="30"/>
  <c r="J146" i="30"/>
  <c r="J110" i="30"/>
  <c r="J94" i="30"/>
  <c r="J66" i="30"/>
  <c r="H31" i="49"/>
  <c r="L31" i="49" s="1"/>
  <c r="N27" i="49"/>
  <c r="X75" i="33"/>
  <c r="L27" i="43"/>
  <c r="D31" i="43"/>
  <c r="P27" i="43"/>
  <c r="X18" i="43"/>
  <c r="D31" i="38"/>
  <c r="H27" i="32"/>
  <c r="N18" i="32"/>
  <c r="P27" i="22"/>
  <c r="X18" i="22"/>
  <c r="F105" i="27"/>
  <c r="F100" i="27"/>
  <c r="F72" i="27"/>
  <c r="F60" i="27"/>
  <c r="F52" i="27"/>
  <c r="F44" i="27"/>
  <c r="L12" i="27"/>
  <c r="F108" i="27"/>
  <c r="F103" i="27"/>
  <c r="F94" i="27"/>
  <c r="F90" i="27"/>
  <c r="F87" i="27"/>
  <c r="F82" i="27"/>
  <c r="F79" i="27"/>
  <c r="F71" i="27"/>
  <c r="F67" i="27"/>
  <c r="F59" i="27"/>
  <c r="F51" i="27"/>
  <c r="F43" i="27"/>
  <c r="F38" i="27"/>
  <c r="F112" i="27"/>
  <c r="F70" i="27"/>
  <c r="F66" i="27"/>
  <c r="F57" i="27"/>
  <c r="F50" i="27"/>
  <c r="F42" i="27"/>
  <c r="F106" i="27"/>
  <c r="F96" i="27"/>
  <c r="F93" i="27"/>
  <c r="F89" i="27"/>
  <c r="F84" i="27"/>
  <c r="F81" i="27"/>
  <c r="F76" i="27"/>
  <c r="F69" i="27"/>
  <c r="F65" i="27"/>
  <c r="F49" i="27"/>
  <c r="F41" i="27"/>
  <c r="F99" i="27"/>
  <c r="F92" i="27"/>
  <c r="F64" i="27"/>
  <c r="F48" i="27"/>
  <c r="F40" i="27"/>
  <c r="F102" i="27"/>
  <c r="F95" i="27"/>
  <c r="F91" i="27"/>
  <c r="F86" i="27"/>
  <c r="F83" i="27"/>
  <c r="F78" i="27"/>
  <c r="F75" i="27"/>
  <c r="F63" i="27"/>
  <c r="F58" i="27"/>
  <c r="F47" i="27"/>
  <c r="F39" i="27"/>
  <c r="F107" i="27"/>
  <c r="F98" i="27"/>
  <c r="F74" i="27"/>
  <c r="F62" i="27"/>
  <c r="F46" i="27"/>
  <c r="F101" i="27"/>
  <c r="F80" i="27"/>
  <c r="F73" i="27"/>
  <c r="F85" i="27"/>
  <c r="F53" i="27"/>
  <c r="F68" i="27"/>
  <c r="F61" i="27"/>
  <c r="F77" i="27"/>
  <c r="F45" i="27"/>
  <c r="F88" i="27"/>
  <c r="D55" i="27"/>
  <c r="F55" i="27" s="1"/>
  <c r="F97" i="27"/>
  <c r="V105" i="27"/>
  <c r="D27" i="5"/>
  <c r="L18" i="5"/>
  <c r="Z230" i="18"/>
  <c r="D27" i="11"/>
  <c r="L18" i="11"/>
  <c r="T27" i="10"/>
  <c r="Z18" i="10"/>
  <c r="P31" i="11"/>
  <c r="X12" i="21"/>
  <c r="Z12" i="21" s="1"/>
  <c r="Z18" i="11"/>
  <c r="T27" i="11"/>
  <c r="N22" i="6"/>
  <c r="H26" i="6"/>
  <c r="L246" i="3"/>
  <c r="P27" i="4"/>
  <c r="X18" i="4"/>
  <c r="P31" i="7"/>
  <c r="X27" i="7"/>
  <c r="V262" i="3"/>
  <c r="V258" i="3"/>
  <c r="V250" i="3"/>
  <c r="V244" i="3"/>
  <c r="V240" i="3"/>
  <c r="V228" i="3"/>
  <c r="V220" i="3"/>
  <c r="V200" i="3"/>
  <c r="V192" i="3"/>
  <c r="V188" i="3"/>
  <c r="V180" i="3"/>
  <c r="V176" i="3"/>
  <c r="V168" i="3"/>
  <c r="V156" i="3"/>
  <c r="V140" i="3"/>
  <c r="V132" i="3"/>
  <c r="V124" i="3"/>
  <c r="V116" i="3"/>
  <c r="V108" i="3"/>
  <c r="V100" i="3"/>
  <c r="V253" i="3"/>
  <c r="V243" i="3"/>
  <c r="V239" i="3"/>
  <c r="V227" i="3"/>
  <c r="V223" i="3"/>
  <c r="V219" i="3"/>
  <c r="V203" i="3"/>
  <c r="V191" i="3"/>
  <c r="V183" i="3"/>
  <c r="V179" i="3"/>
  <c r="V171" i="3"/>
  <c r="V167" i="3"/>
  <c r="V155" i="3"/>
  <c r="V139" i="3"/>
  <c r="V131" i="3"/>
  <c r="V123" i="3"/>
  <c r="V115" i="3"/>
  <c r="V107" i="3"/>
  <c r="V99" i="3"/>
  <c r="V248" i="3"/>
  <c r="V226" i="3"/>
  <c r="V222" i="3"/>
  <c r="V218" i="3"/>
  <c r="V214" i="3"/>
  <c r="V210" i="3"/>
  <c r="V202" i="3"/>
  <c r="V194" i="3"/>
  <c r="V182" i="3"/>
  <c r="V170" i="3"/>
  <c r="V166" i="3"/>
  <c r="V154" i="3"/>
  <c r="V150" i="3"/>
  <c r="V146" i="3"/>
  <c r="V138" i="3"/>
  <c r="V130" i="3"/>
  <c r="V122" i="3"/>
  <c r="V114" i="3"/>
  <c r="V106" i="3"/>
  <c r="V251" i="3"/>
  <c r="V233" i="3"/>
  <c r="V225" i="3"/>
  <c r="V221" i="3"/>
  <c r="V217" i="3"/>
  <c r="V213" i="3"/>
  <c r="V209" i="3"/>
  <c r="V205" i="3"/>
  <c r="V193" i="3"/>
  <c r="V185" i="3"/>
  <c r="V173" i="3"/>
  <c r="V165" i="3"/>
  <c r="V161" i="3"/>
  <c r="V153" i="3"/>
  <c r="V145" i="3"/>
  <c r="V137" i="3"/>
  <c r="V129" i="3"/>
  <c r="V121" i="3"/>
  <c r="V113" i="3"/>
  <c r="V249" i="3"/>
  <c r="V235" i="3"/>
  <c r="V231" i="3"/>
  <c r="V215" i="3"/>
  <c r="V211" i="3"/>
  <c r="V207" i="3"/>
  <c r="V199" i="3"/>
  <c r="V195" i="3"/>
  <c r="V187" i="3"/>
  <c r="V175" i="3"/>
  <c r="V163" i="3"/>
  <c r="V159" i="3"/>
  <c r="V151" i="3"/>
  <c r="V143" i="3"/>
  <c r="V135" i="3"/>
  <c r="V127" i="3"/>
  <c r="V119" i="3"/>
  <c r="V111" i="3"/>
  <c r="V103" i="3"/>
  <c r="V252" i="3"/>
  <c r="V242" i="3"/>
  <c r="V238" i="3"/>
  <c r="V234" i="3"/>
  <c r="V230" i="3"/>
  <c r="V206" i="3"/>
  <c r="V198" i="3"/>
  <c r="V190" i="3"/>
  <c r="V186" i="3"/>
  <c r="V178" i="3"/>
  <c r="V174" i="3"/>
  <c r="V162" i="3"/>
  <c r="V158" i="3"/>
  <c r="V148" i="3"/>
  <c r="V142" i="3"/>
  <c r="V134" i="3"/>
  <c r="V126" i="3"/>
  <c r="V118" i="3"/>
  <c r="V110" i="3"/>
  <c r="V102" i="3"/>
  <c r="V247" i="3"/>
  <c r="V241" i="3"/>
  <c r="V237" i="3"/>
  <c r="V229" i="3"/>
  <c r="V201" i="3"/>
  <c r="V197" i="3"/>
  <c r="V189" i="3"/>
  <c r="V181" i="3"/>
  <c r="V177" i="3"/>
  <c r="V169" i="3"/>
  <c r="V157" i="3"/>
  <c r="T148" i="3"/>
  <c r="V141" i="3"/>
  <c r="V133" i="3"/>
  <c r="V125" i="3"/>
  <c r="V117" i="3"/>
  <c r="V109" i="3"/>
  <c r="V101" i="3"/>
  <c r="V263" i="3"/>
  <c r="V224" i="3"/>
  <c r="V128" i="3"/>
  <c r="V184" i="3"/>
  <c r="V120" i="3"/>
  <c r="V246" i="3"/>
  <c r="V216" i="3"/>
  <c r="V164" i="3"/>
  <c r="V208" i="3"/>
  <c r="V172" i="3"/>
  <c r="V152" i="3"/>
  <c r="V136" i="3"/>
  <c r="V254" i="3"/>
  <c r="V232" i="3"/>
  <c r="V236" i="3"/>
  <c r="V212" i="3"/>
  <c r="V196" i="3"/>
  <c r="V160" i="3"/>
  <c r="V144" i="3"/>
  <c r="V105" i="3"/>
  <c r="V104" i="3"/>
  <c r="V204" i="3"/>
  <c r="V112" i="3"/>
  <c r="Z12" i="3"/>
  <c r="X18" i="99"/>
  <c r="P27" i="99"/>
  <c r="D71" i="81"/>
  <c r="L16" i="81"/>
  <c r="H44" i="74"/>
  <c r="N17" i="74"/>
  <c r="F104" i="77"/>
  <c r="F98" i="77"/>
  <c r="F93" i="77"/>
  <c r="F82" i="77"/>
  <c r="F78" i="77"/>
  <c r="F73" i="77"/>
  <c r="F70" i="77"/>
  <c r="F65" i="77"/>
  <c r="F62" i="77"/>
  <c r="F57" i="77"/>
  <c r="F50" i="77"/>
  <c r="F42" i="77"/>
  <c r="F88" i="77"/>
  <c r="F85" i="77"/>
  <c r="F81" i="77"/>
  <c r="F61" i="77"/>
  <c r="F49" i="77"/>
  <c r="F41" i="77"/>
  <c r="F36" i="77"/>
  <c r="F95" i="77"/>
  <c r="F92" i="77"/>
  <c r="F84" i="77"/>
  <c r="F80" i="77"/>
  <c r="F75" i="77"/>
  <c r="F72" i="77"/>
  <c r="F67" i="77"/>
  <c r="F64" i="77"/>
  <c r="F60" i="77"/>
  <c r="F56" i="77"/>
  <c r="F47" i="77"/>
  <c r="F40" i="77"/>
  <c r="F91" i="77"/>
  <c r="F87" i="77"/>
  <c r="F59" i="77"/>
  <c r="F55" i="77"/>
  <c r="F39" i="77"/>
  <c r="F97" i="77"/>
  <c r="F94" i="77"/>
  <c r="F90" i="77"/>
  <c r="F77" i="77"/>
  <c r="F74" i="77"/>
  <c r="F69" i="77"/>
  <c r="F66" i="77"/>
  <c r="F58" i="77"/>
  <c r="F54" i="77"/>
  <c r="F38" i="77"/>
  <c r="F89" i="77"/>
  <c r="F53" i="77"/>
  <c r="F48" i="77"/>
  <c r="F37" i="77"/>
  <c r="F79" i="77"/>
  <c r="F96" i="77"/>
  <c r="F68" i="77"/>
  <c r="F100" i="77"/>
  <c r="F63" i="77"/>
  <c r="F76" i="77"/>
  <c r="F71" i="77"/>
  <c r="F51" i="77"/>
  <c r="F43" i="77"/>
  <c r="F86" i="77"/>
  <c r="F45" i="77"/>
  <c r="F83" i="77"/>
  <c r="D45" i="77"/>
  <c r="L12" i="77"/>
  <c r="N12" i="77" s="1"/>
  <c r="F52" i="77"/>
  <c r="H81" i="64"/>
  <c r="P51" i="61"/>
  <c r="X51" i="61" s="1"/>
  <c r="Z51" i="61" s="1"/>
  <c r="X48" i="61"/>
  <c r="Z48" i="61" s="1"/>
  <c r="T27" i="40"/>
  <c r="Z18" i="40"/>
  <c r="H27" i="44"/>
  <c r="N18" i="44"/>
  <c r="H27" i="23"/>
  <c r="N18" i="23"/>
  <c r="T62" i="97"/>
  <c r="Z17" i="97"/>
  <c r="Z20" i="96"/>
  <c r="L18" i="100"/>
  <c r="D27" i="100"/>
  <c r="P24" i="96"/>
  <c r="X16" i="96"/>
  <c r="L12" i="95"/>
  <c r="N12" i="95" s="1"/>
  <c r="X20" i="96"/>
  <c r="F46" i="90"/>
  <c r="N76" i="85"/>
  <c r="L76" i="85"/>
  <c r="P30" i="89"/>
  <c r="X16" i="89"/>
  <c r="N32" i="82"/>
  <c r="H36" i="82"/>
  <c r="V53" i="90"/>
  <c r="V48" i="90"/>
  <c r="V46" i="90"/>
  <c r="V42" i="90"/>
  <c r="V34" i="90"/>
  <c r="V26" i="90"/>
  <c r="V41" i="90"/>
  <c r="V33" i="90"/>
  <c r="V25" i="90"/>
  <c r="V36" i="90"/>
  <c r="V28" i="90"/>
  <c r="V24" i="90"/>
  <c r="V20" i="90"/>
  <c r="V16" i="90"/>
  <c r="V50" i="90"/>
  <c r="V44" i="90"/>
  <c r="V38" i="90"/>
  <c r="V30" i="90"/>
  <c r="V22" i="90"/>
  <c r="V37" i="90"/>
  <c r="V29" i="90"/>
  <c r="V21" i="90"/>
  <c r="V31" i="90"/>
  <c r="V18" i="90"/>
  <c r="V35" i="90"/>
  <c r="V32" i="90"/>
  <c r="V23" i="90"/>
  <c r="T18" i="90"/>
  <c r="X18" i="90" s="1"/>
  <c r="Z12" i="90"/>
  <c r="V40" i="90"/>
  <c r="V39" i="90"/>
  <c r="V15" i="90"/>
  <c r="V27" i="90"/>
  <c r="H32" i="88"/>
  <c r="N20" i="78"/>
  <c r="H28" i="78"/>
  <c r="H75" i="81"/>
  <c r="P70" i="76"/>
  <c r="X20" i="76"/>
  <c r="Z20" i="76" s="1"/>
  <c r="H29" i="75"/>
  <c r="F20" i="78"/>
  <c r="J66" i="73"/>
  <c r="J60" i="73"/>
  <c r="J52" i="73"/>
  <c r="J46" i="73"/>
  <c r="J40" i="73"/>
  <c r="J24" i="73"/>
  <c r="J57" i="73"/>
  <c r="J37" i="73"/>
  <c r="J23" i="73"/>
  <c r="J21" i="73"/>
  <c r="J64" i="73"/>
  <c r="J48" i="73"/>
  <c r="J42" i="73"/>
  <c r="J34" i="73"/>
  <c r="J30" i="73"/>
  <c r="J16" i="73"/>
  <c r="J71" i="73"/>
  <c r="J59" i="73"/>
  <c r="J51" i="73"/>
  <c r="J45" i="73"/>
  <c r="J39" i="73"/>
  <c r="J33" i="73"/>
  <c r="J29" i="73"/>
  <c r="J56" i="73"/>
  <c r="J44" i="73"/>
  <c r="J36" i="73"/>
  <c r="J32" i="73"/>
  <c r="J28" i="73"/>
  <c r="J22" i="73"/>
  <c r="N12" i="73"/>
  <c r="J68" i="73"/>
  <c r="J62" i="73"/>
  <c r="J58" i="73"/>
  <c r="J54" i="73"/>
  <c r="J50" i="73"/>
  <c r="J38" i="73"/>
  <c r="J26" i="73"/>
  <c r="J55" i="73"/>
  <c r="J41" i="73"/>
  <c r="J47" i="73"/>
  <c r="J43" i="73"/>
  <c r="J35" i="73"/>
  <c r="J27" i="73"/>
  <c r="J17" i="73"/>
  <c r="J31" i="73"/>
  <c r="J19" i="73"/>
  <c r="J53" i="73"/>
  <c r="H19" i="73"/>
  <c r="J49" i="73"/>
  <c r="J25" i="73"/>
  <c r="N16" i="65"/>
  <c r="H32" i="65"/>
  <c r="R69" i="64"/>
  <c r="R60" i="64"/>
  <c r="R57" i="64"/>
  <c r="R48" i="64"/>
  <c r="R44" i="64"/>
  <c r="R41" i="64"/>
  <c r="R36" i="64"/>
  <c r="R28" i="64"/>
  <c r="X12" i="64"/>
  <c r="Z12" i="64" s="1"/>
  <c r="R76" i="64"/>
  <c r="R51" i="64"/>
  <c r="R47" i="64"/>
  <c r="R43" i="64"/>
  <c r="R35" i="64"/>
  <c r="R62" i="64"/>
  <c r="R59" i="64"/>
  <c r="R34" i="64"/>
  <c r="R27" i="64"/>
  <c r="R73" i="64"/>
  <c r="R65" i="64"/>
  <c r="R53" i="64"/>
  <c r="R50" i="64"/>
  <c r="R46" i="64"/>
  <c r="R42" i="64"/>
  <c r="R33" i="64"/>
  <c r="R79" i="64"/>
  <c r="R72" i="64"/>
  <c r="R68" i="64"/>
  <c r="R64" i="64"/>
  <c r="R61" i="64"/>
  <c r="R56" i="64"/>
  <c r="R39" i="64"/>
  <c r="R32" i="64"/>
  <c r="R70" i="64"/>
  <c r="R63" i="64"/>
  <c r="R58" i="64"/>
  <c r="R30" i="64"/>
  <c r="R49" i="64"/>
  <c r="R45" i="64"/>
  <c r="R31" i="64"/>
  <c r="R66" i="64"/>
  <c r="R83" i="64"/>
  <c r="R74" i="64"/>
  <c r="R52" i="64"/>
  <c r="R29" i="64"/>
  <c r="R67" i="64"/>
  <c r="P39" i="64"/>
  <c r="R71" i="64"/>
  <c r="R37" i="64"/>
  <c r="R77" i="64"/>
  <c r="R55" i="64"/>
  <c r="R75" i="64"/>
  <c r="R54" i="64"/>
  <c r="J132" i="69"/>
  <c r="J124" i="69"/>
  <c r="J120" i="69"/>
  <c r="J104" i="69"/>
  <c r="J98" i="69"/>
  <c r="J88" i="69"/>
  <c r="J72" i="69"/>
  <c r="J64" i="69"/>
  <c r="J56" i="69"/>
  <c r="J123" i="69"/>
  <c r="J113" i="69"/>
  <c r="J107" i="69"/>
  <c r="J87" i="69"/>
  <c r="H80" i="69"/>
  <c r="J71" i="69"/>
  <c r="J63" i="69"/>
  <c r="J55" i="69"/>
  <c r="J136" i="69"/>
  <c r="J130" i="69"/>
  <c r="J126" i="69"/>
  <c r="J122" i="69"/>
  <c r="J116" i="69"/>
  <c r="J110" i="69"/>
  <c r="J106" i="69"/>
  <c r="J100" i="69"/>
  <c r="J92" i="69"/>
  <c r="J86" i="69"/>
  <c r="J78" i="69"/>
  <c r="J70" i="69"/>
  <c r="J62" i="69"/>
  <c r="J119" i="69"/>
  <c r="J109" i="69"/>
  <c r="J103" i="69"/>
  <c r="J97" i="69"/>
  <c r="J85" i="69"/>
  <c r="J77" i="69"/>
  <c r="J69" i="69"/>
  <c r="J61" i="69"/>
  <c r="J128" i="69"/>
  <c r="J112" i="69"/>
  <c r="J96" i="69"/>
  <c r="J84" i="69"/>
  <c r="J82" i="69"/>
  <c r="J76" i="69"/>
  <c r="J68" i="69"/>
  <c r="J60" i="69"/>
  <c r="J54" i="69"/>
  <c r="J118" i="69"/>
  <c r="J114" i="69"/>
  <c r="J108" i="69"/>
  <c r="J102" i="69"/>
  <c r="J94" i="69"/>
  <c r="J90" i="69"/>
  <c r="J74" i="69"/>
  <c r="J66" i="69"/>
  <c r="J58" i="69"/>
  <c r="J115" i="69"/>
  <c r="J93" i="69"/>
  <c r="J67" i="69"/>
  <c r="J59" i="69"/>
  <c r="J105" i="69"/>
  <c r="J99" i="69"/>
  <c r="J75" i="69"/>
  <c r="J131" i="69"/>
  <c r="J125" i="69"/>
  <c r="J121" i="69"/>
  <c r="J111" i="69"/>
  <c r="J91" i="69"/>
  <c r="J65" i="69"/>
  <c r="J57" i="69"/>
  <c r="N12" i="69"/>
  <c r="J73" i="69"/>
  <c r="J127" i="69"/>
  <c r="J117" i="69"/>
  <c r="J89" i="69"/>
  <c r="J83" i="69"/>
  <c r="J95" i="69"/>
  <c r="J101" i="69"/>
  <c r="T39" i="65"/>
  <c r="N21" i="67"/>
  <c r="H48" i="67"/>
  <c r="T68" i="58"/>
  <c r="T30" i="55"/>
  <c r="Z16" i="55"/>
  <c r="H27" i="52"/>
  <c r="N18" i="52"/>
  <c r="P101" i="62"/>
  <c r="H97" i="62"/>
  <c r="L97" i="62" s="1"/>
  <c r="N17" i="62"/>
  <c r="L17" i="62"/>
  <c r="R59" i="48"/>
  <c r="X18" i="47"/>
  <c r="P27" i="47"/>
  <c r="L18" i="47"/>
  <c r="J60" i="48"/>
  <c r="J54" i="48"/>
  <c r="J36" i="48"/>
  <c r="J30" i="48"/>
  <c r="J24" i="48"/>
  <c r="H17" i="48"/>
  <c r="J17" i="48" s="1"/>
  <c r="J47" i="48"/>
  <c r="J41" i="48"/>
  <c r="J35" i="48"/>
  <c r="J23" i="48"/>
  <c r="J64" i="48"/>
  <c r="J56" i="48"/>
  <c r="J50" i="48"/>
  <c r="J44" i="48"/>
  <c r="J38" i="48"/>
  <c r="J34" i="48"/>
  <c r="J22" i="48"/>
  <c r="J53" i="48"/>
  <c r="J49" i="48"/>
  <c r="J33" i="48"/>
  <c r="J29" i="48"/>
  <c r="J21" i="48"/>
  <c r="J19" i="48"/>
  <c r="J15" i="48"/>
  <c r="J48" i="48"/>
  <c r="J42" i="48"/>
  <c r="J26" i="48"/>
  <c r="J20" i="48"/>
  <c r="J57" i="48"/>
  <c r="J51" i="48"/>
  <c r="J45" i="48"/>
  <c r="J39" i="48"/>
  <c r="J25" i="48"/>
  <c r="J52" i="48"/>
  <c r="J31" i="48"/>
  <c r="J46" i="48"/>
  <c r="J27" i="48"/>
  <c r="J59" i="48"/>
  <c r="J32" i="48"/>
  <c r="N12" i="48"/>
  <c r="J37" i="48"/>
  <c r="J28" i="48"/>
  <c r="J55" i="48"/>
  <c r="J43" i="48"/>
  <c r="J40" i="48"/>
  <c r="D36" i="49"/>
  <c r="L17" i="48"/>
  <c r="D62" i="48"/>
  <c r="F17" i="48"/>
  <c r="Z75" i="33"/>
  <c r="H27" i="50"/>
  <c r="L27" i="50" s="1"/>
  <c r="N18" i="50"/>
  <c r="X93" i="42"/>
  <c r="Z27" i="35"/>
  <c r="T31" i="35"/>
  <c r="H27" i="29"/>
  <c r="L27" i="29" s="1"/>
  <c r="N18" i="29"/>
  <c r="T36" i="22"/>
  <c r="Z36" i="22" s="1"/>
  <c r="Z31" i="22"/>
  <c r="H27" i="16"/>
  <c r="N18" i="16"/>
  <c r="Z27" i="25"/>
  <c r="T31" i="25"/>
  <c r="N18" i="17"/>
  <c r="H27" i="17"/>
  <c r="L27" i="17" s="1"/>
  <c r="V88" i="24"/>
  <c r="V82" i="24"/>
  <c r="V74" i="24"/>
  <c r="V62" i="24"/>
  <c r="V58" i="24"/>
  <c r="V34" i="24"/>
  <c r="V81" i="24"/>
  <c r="V65" i="24"/>
  <c r="V61" i="24"/>
  <c r="V53" i="24"/>
  <c r="V49" i="24"/>
  <c r="V33" i="24"/>
  <c r="V64" i="24"/>
  <c r="V52" i="24"/>
  <c r="V48" i="24"/>
  <c r="V44" i="24"/>
  <c r="V40" i="24"/>
  <c r="V32" i="24"/>
  <c r="V67" i="24"/>
  <c r="V55" i="24"/>
  <c r="V51" i="24"/>
  <c r="V47" i="24"/>
  <c r="V39" i="24"/>
  <c r="V31" i="24"/>
  <c r="V84" i="24"/>
  <c r="V78" i="24"/>
  <c r="V70" i="24"/>
  <c r="V66" i="24"/>
  <c r="V54" i="24"/>
  <c r="V50" i="24"/>
  <c r="V46" i="24"/>
  <c r="V38" i="24"/>
  <c r="V30" i="24"/>
  <c r="V77" i="24"/>
  <c r="V73" i="24"/>
  <c r="V69" i="24"/>
  <c r="V57" i="24"/>
  <c r="V45" i="24"/>
  <c r="V37" i="24"/>
  <c r="V80" i="24"/>
  <c r="V76" i="24"/>
  <c r="V72" i="24"/>
  <c r="V68" i="24"/>
  <c r="V60" i="24"/>
  <c r="V56" i="24"/>
  <c r="V36" i="24"/>
  <c r="V79" i="24"/>
  <c r="V75" i="24"/>
  <c r="V35" i="24"/>
  <c r="T42" i="24"/>
  <c r="V42" i="24" s="1"/>
  <c r="V63" i="24"/>
  <c r="V59" i="24"/>
  <c r="V71" i="24"/>
  <c r="D31" i="17"/>
  <c r="H27" i="8"/>
  <c r="N18" i="8"/>
  <c r="L18" i="7"/>
  <c r="D27" i="7"/>
  <c r="Z63" i="86"/>
  <c r="X63" i="86"/>
  <c r="L16" i="89"/>
  <c r="D30" i="89"/>
  <c r="T66" i="86"/>
  <c r="D29" i="75"/>
  <c r="L23" i="75"/>
  <c r="N23" i="75" s="1"/>
  <c r="L16" i="54"/>
  <c r="P31" i="52"/>
  <c r="P27" i="31"/>
  <c r="X18" i="31"/>
  <c r="T27" i="98"/>
  <c r="X27" i="98" s="1"/>
  <c r="Z18" i="98"/>
  <c r="Z18" i="100"/>
  <c r="T27" i="100"/>
  <c r="F21" i="95"/>
  <c r="R81" i="95"/>
  <c r="D82" i="94"/>
  <c r="L12" i="87"/>
  <c r="N12" i="87" s="1"/>
  <c r="X16" i="83"/>
  <c r="P38" i="84"/>
  <c r="X34" i="84"/>
  <c r="R94" i="77"/>
  <c r="R90" i="77"/>
  <c r="R83" i="77"/>
  <c r="R79" i="77"/>
  <c r="R74" i="77"/>
  <c r="R71" i="77"/>
  <c r="R66" i="77"/>
  <c r="R63" i="77"/>
  <c r="R58" i="77"/>
  <c r="R54" i="77"/>
  <c r="R45" i="77"/>
  <c r="R38" i="77"/>
  <c r="R100" i="77"/>
  <c r="R89" i="77"/>
  <c r="R86" i="77"/>
  <c r="R53" i="77"/>
  <c r="P45" i="77"/>
  <c r="R37" i="77"/>
  <c r="R96" i="77"/>
  <c r="R93" i="77"/>
  <c r="R76" i="77"/>
  <c r="R73" i="77"/>
  <c r="R68" i="77"/>
  <c r="R65" i="77"/>
  <c r="R57" i="77"/>
  <c r="R52" i="77"/>
  <c r="X12" i="77"/>
  <c r="Z12" i="77" s="1"/>
  <c r="R88" i="77"/>
  <c r="R51" i="77"/>
  <c r="R43" i="77"/>
  <c r="R36" i="77"/>
  <c r="R104" i="77"/>
  <c r="R98" i="77"/>
  <c r="R95" i="77"/>
  <c r="R82" i="77"/>
  <c r="R78" i="77"/>
  <c r="R75" i="77"/>
  <c r="R70" i="77"/>
  <c r="R67" i="77"/>
  <c r="R62" i="77"/>
  <c r="R50" i="77"/>
  <c r="R47" i="77"/>
  <c r="R42" i="77"/>
  <c r="R85" i="77"/>
  <c r="R81" i="77"/>
  <c r="R61" i="77"/>
  <c r="R49" i="77"/>
  <c r="R41" i="77"/>
  <c r="R92" i="77"/>
  <c r="R77" i="77"/>
  <c r="R60" i="77"/>
  <c r="R56" i="77"/>
  <c r="R39" i="77"/>
  <c r="R97" i="77"/>
  <c r="R48" i="77"/>
  <c r="R64" i="77"/>
  <c r="R72" i="77"/>
  <c r="R87" i="77"/>
  <c r="R91" i="77"/>
  <c r="R69" i="77"/>
  <c r="R59" i="77"/>
  <c r="R55" i="77"/>
  <c r="R80" i="77"/>
  <c r="R84" i="77"/>
  <c r="R40" i="77"/>
  <c r="V74" i="79"/>
  <c r="V65" i="79"/>
  <c r="V64" i="79"/>
  <c r="V83" i="79"/>
  <c r="V77" i="79"/>
  <c r="V71" i="79"/>
  <c r="V70" i="79"/>
  <c r="V73" i="79"/>
  <c r="V69" i="79"/>
  <c r="V75" i="79"/>
  <c r="V72" i="79"/>
  <c r="V66" i="79"/>
  <c r="V51" i="79"/>
  <c r="V39" i="79"/>
  <c r="V27" i="79"/>
  <c r="V67" i="79"/>
  <c r="V50" i="79"/>
  <c r="V42" i="79"/>
  <c r="V26" i="79"/>
  <c r="V22" i="79"/>
  <c r="V18" i="79"/>
  <c r="V81" i="79"/>
  <c r="V68" i="79"/>
  <c r="V61" i="79"/>
  <c r="V53" i="79"/>
  <c r="V45" i="79"/>
  <c r="V41" i="79"/>
  <c r="V25" i="79"/>
  <c r="V17" i="79"/>
  <c r="V86" i="79"/>
  <c r="V60" i="79"/>
  <c r="V56" i="79"/>
  <c r="V52" i="79"/>
  <c r="V44" i="79"/>
  <c r="V36" i="79"/>
  <c r="V24" i="79"/>
  <c r="V16" i="79"/>
  <c r="V59" i="79"/>
  <c r="V55" i="79"/>
  <c r="V47" i="79"/>
  <c r="V43" i="79"/>
  <c r="V35" i="79"/>
  <c r="V31" i="79"/>
  <c r="V23" i="79"/>
  <c r="V58" i="79"/>
  <c r="V54" i="79"/>
  <c r="V46" i="79"/>
  <c r="V38" i="79"/>
  <c r="V34" i="79"/>
  <c r="V30" i="79"/>
  <c r="V20" i="79"/>
  <c r="V62" i="79"/>
  <c r="V48" i="79"/>
  <c r="V28" i="79"/>
  <c r="Z12" i="79"/>
  <c r="V49" i="79"/>
  <c r="V40" i="79"/>
  <c r="V29" i="79"/>
  <c r="V79" i="79"/>
  <c r="V63" i="79"/>
  <c r="V37" i="79"/>
  <c r="T20" i="79"/>
  <c r="V32" i="79"/>
  <c r="V57" i="79"/>
  <c r="V33" i="79"/>
  <c r="D79" i="79"/>
  <c r="L20" i="79"/>
  <c r="N20" i="76"/>
  <c r="H70" i="76"/>
  <c r="J95" i="77"/>
  <c r="J85" i="77"/>
  <c r="J81" i="77"/>
  <c r="J75" i="77"/>
  <c r="J67" i="77"/>
  <c r="J61" i="77"/>
  <c r="J49" i="77"/>
  <c r="J47" i="77"/>
  <c r="J41" i="77"/>
  <c r="J92" i="77"/>
  <c r="J84" i="77"/>
  <c r="J80" i="77"/>
  <c r="J72" i="77"/>
  <c r="J64" i="77"/>
  <c r="J60" i="77"/>
  <c r="J56" i="77"/>
  <c r="J40" i="77"/>
  <c r="J97" i="77"/>
  <c r="J91" i="77"/>
  <c r="J87" i="77"/>
  <c r="J77" i="77"/>
  <c r="J69" i="77"/>
  <c r="J59" i="77"/>
  <c r="J55" i="77"/>
  <c r="J39" i="77"/>
  <c r="J94" i="77"/>
  <c r="J90" i="77"/>
  <c r="J74" i="77"/>
  <c r="J66" i="77"/>
  <c r="J58" i="77"/>
  <c r="J54" i="77"/>
  <c r="J48" i="77"/>
  <c r="J38" i="77"/>
  <c r="J89" i="77"/>
  <c r="J83" i="77"/>
  <c r="J79" i="77"/>
  <c r="J71" i="77"/>
  <c r="J63" i="77"/>
  <c r="J53" i="77"/>
  <c r="J45" i="77"/>
  <c r="J37" i="77"/>
  <c r="J100" i="77"/>
  <c r="J96" i="77"/>
  <c r="J86" i="77"/>
  <c r="J76" i="77"/>
  <c r="J68" i="77"/>
  <c r="J52" i="77"/>
  <c r="H45" i="77"/>
  <c r="J50" i="77"/>
  <c r="J104" i="77"/>
  <c r="J93" i="77"/>
  <c r="J70" i="77"/>
  <c r="J57" i="77"/>
  <c r="J36" i="77"/>
  <c r="J65" i="77"/>
  <c r="J51" i="77"/>
  <c r="J43" i="77"/>
  <c r="J78" i="77"/>
  <c r="J98" i="77"/>
  <c r="J82" i="77"/>
  <c r="J73" i="77"/>
  <c r="J62" i="77"/>
  <c r="J88" i="77"/>
  <c r="J42" i="77"/>
  <c r="N130" i="69"/>
  <c r="R109" i="69"/>
  <c r="R97" i="69"/>
  <c r="R85" i="69"/>
  <c r="R82" i="69"/>
  <c r="R77" i="69"/>
  <c r="R69" i="69"/>
  <c r="R61" i="69"/>
  <c r="R54" i="69"/>
  <c r="R131" i="69"/>
  <c r="R128" i="69"/>
  <c r="R125" i="69"/>
  <c r="R121" i="69"/>
  <c r="R112" i="69"/>
  <c r="R105" i="69"/>
  <c r="R96" i="69"/>
  <c r="R84" i="69"/>
  <c r="R76" i="69"/>
  <c r="R68" i="69"/>
  <c r="R60" i="69"/>
  <c r="R115" i="69"/>
  <c r="R108" i="69"/>
  <c r="R99" i="69"/>
  <c r="R95" i="69"/>
  <c r="R91" i="69"/>
  <c r="R75" i="69"/>
  <c r="R67" i="69"/>
  <c r="R59" i="69"/>
  <c r="R127" i="69"/>
  <c r="R118" i="69"/>
  <c r="R114" i="69"/>
  <c r="R111" i="69"/>
  <c r="R102" i="69"/>
  <c r="R94" i="69"/>
  <c r="R90" i="69"/>
  <c r="R83" i="69"/>
  <c r="R74" i="69"/>
  <c r="R66" i="69"/>
  <c r="R58" i="69"/>
  <c r="R132" i="69"/>
  <c r="R117" i="69"/>
  <c r="R101" i="69"/>
  <c r="R98" i="69"/>
  <c r="R93" i="69"/>
  <c r="R89" i="69"/>
  <c r="R80" i="69"/>
  <c r="R73" i="69"/>
  <c r="R65" i="69"/>
  <c r="R57" i="69"/>
  <c r="R130" i="69"/>
  <c r="R123" i="69"/>
  <c r="R116" i="69"/>
  <c r="R107" i="69"/>
  <c r="R100" i="69"/>
  <c r="R92" i="69"/>
  <c r="R87" i="69"/>
  <c r="R71" i="69"/>
  <c r="R63" i="69"/>
  <c r="R55" i="69"/>
  <c r="R136" i="69"/>
  <c r="R124" i="69"/>
  <c r="R120" i="69"/>
  <c r="R110" i="69"/>
  <c r="R106" i="69"/>
  <c r="R104" i="69"/>
  <c r="R122" i="69"/>
  <c r="R113" i="69"/>
  <c r="R88" i="69"/>
  <c r="R78" i="69"/>
  <c r="R126" i="69"/>
  <c r="R86" i="69"/>
  <c r="R64" i="69"/>
  <c r="R72" i="69"/>
  <c r="R70" i="69"/>
  <c r="R62" i="69"/>
  <c r="X12" i="69"/>
  <c r="Z12" i="69" s="1"/>
  <c r="R119" i="69"/>
  <c r="R56" i="69"/>
  <c r="P80" i="69"/>
  <c r="R103" i="69"/>
  <c r="D95" i="71"/>
  <c r="L49" i="71"/>
  <c r="N16" i="59"/>
  <c r="H50" i="59"/>
  <c r="F72" i="64"/>
  <c r="F68" i="64"/>
  <c r="F64" i="64"/>
  <c r="F59" i="64"/>
  <c r="F56" i="64"/>
  <c r="F32" i="64"/>
  <c r="F27" i="64"/>
  <c r="F75" i="64"/>
  <c r="F71" i="64"/>
  <c r="F67" i="64"/>
  <c r="F55" i="64"/>
  <c r="F50" i="64"/>
  <c r="F46" i="64"/>
  <c r="F42" i="64"/>
  <c r="F31" i="64"/>
  <c r="F79" i="64"/>
  <c r="F70" i="64"/>
  <c r="F61" i="64"/>
  <c r="F58" i="64"/>
  <c r="F30" i="64"/>
  <c r="F83" i="64"/>
  <c r="F77" i="64"/>
  <c r="F52" i="64"/>
  <c r="F49" i="64"/>
  <c r="F45" i="64"/>
  <c r="D39" i="64"/>
  <c r="F39" i="64" s="1"/>
  <c r="F37" i="64"/>
  <c r="F29" i="64"/>
  <c r="F63" i="64"/>
  <c r="F60" i="64"/>
  <c r="F48" i="64"/>
  <c r="F44" i="64"/>
  <c r="F36" i="64"/>
  <c r="F28" i="64"/>
  <c r="L12" i="64"/>
  <c r="N12" i="64" s="1"/>
  <c r="F69" i="64"/>
  <c r="F62" i="64"/>
  <c r="F57" i="64"/>
  <c r="F41" i="64"/>
  <c r="F34" i="64"/>
  <c r="F54" i="64"/>
  <c r="F76" i="64"/>
  <c r="F73" i="64"/>
  <c r="F51" i="64"/>
  <c r="F43" i="64"/>
  <c r="F35" i="64"/>
  <c r="F47" i="64"/>
  <c r="F66" i="64"/>
  <c r="F53" i="64"/>
  <c r="F33" i="64"/>
  <c r="F74" i="64"/>
  <c r="F65" i="64"/>
  <c r="T27" i="52"/>
  <c r="X27" i="52" s="1"/>
  <c r="Z18" i="52"/>
  <c r="H34" i="55"/>
  <c r="P27" i="53"/>
  <c r="X18" i="53"/>
  <c r="P27" i="50"/>
  <c r="X18" i="50"/>
  <c r="T27" i="49"/>
  <c r="Z18" i="49"/>
  <c r="L12" i="42"/>
  <c r="N12" i="42" s="1"/>
  <c r="L21" i="45"/>
  <c r="F21" i="45"/>
  <c r="D88" i="45"/>
  <c r="X18" i="40"/>
  <c r="P27" i="40"/>
  <c r="Z27" i="38"/>
  <c r="T31" i="38"/>
  <c r="V98" i="39"/>
  <c r="V90" i="39"/>
  <c r="V82" i="39"/>
  <c r="V78" i="39"/>
  <c r="V74" i="39"/>
  <c r="V66" i="39"/>
  <c r="V62" i="39"/>
  <c r="V54" i="39"/>
  <c r="V38" i="39"/>
  <c r="V103" i="39"/>
  <c r="V97" i="39"/>
  <c r="V89" i="39"/>
  <c r="V85" i="39"/>
  <c r="V81" i="39"/>
  <c r="V77" i="39"/>
  <c r="V73" i="39"/>
  <c r="V65" i="39"/>
  <c r="V57" i="39"/>
  <c r="V53" i="39"/>
  <c r="V37" i="39"/>
  <c r="V33" i="39"/>
  <c r="V29" i="39"/>
  <c r="V100" i="39"/>
  <c r="V88" i="39"/>
  <c r="V84" i="39"/>
  <c r="V80" i="39"/>
  <c r="V109" i="39"/>
  <c r="V99" i="39"/>
  <c r="V87" i="39"/>
  <c r="V79" i="39"/>
  <c r="V67" i="39"/>
  <c r="V59" i="39"/>
  <c r="V55" i="39"/>
  <c r="V47" i="39"/>
  <c r="V35" i="39"/>
  <c r="V27" i="39"/>
  <c r="V104" i="39"/>
  <c r="V94" i="39"/>
  <c r="V86" i="39"/>
  <c r="V70" i="39"/>
  <c r="V58" i="39"/>
  <c r="V50" i="39"/>
  <c r="V46" i="39"/>
  <c r="V42" i="39"/>
  <c r="V34" i="39"/>
  <c r="V93" i="39"/>
  <c r="V102" i="39"/>
  <c r="V96" i="39"/>
  <c r="V92" i="39"/>
  <c r="V76" i="39"/>
  <c r="V72" i="39"/>
  <c r="V64" i="39"/>
  <c r="V60" i="39"/>
  <c r="V52" i="39"/>
  <c r="V44" i="39"/>
  <c r="V40" i="39"/>
  <c r="T31" i="39"/>
  <c r="V75" i="39"/>
  <c r="V71" i="39"/>
  <c r="V63" i="39"/>
  <c r="V39" i="39"/>
  <c r="V28" i="39"/>
  <c r="V105" i="39"/>
  <c r="V83" i="39"/>
  <c r="V49" i="39"/>
  <c r="V95" i="39"/>
  <c r="V91" i="39"/>
  <c r="V45" i="39"/>
  <c r="V56" i="39"/>
  <c r="V43" i="39"/>
  <c r="V31" i="39"/>
  <c r="V68" i="39"/>
  <c r="V36" i="39"/>
  <c r="V48" i="39"/>
  <c r="V61" i="39"/>
  <c r="V41" i="39"/>
  <c r="V69" i="39"/>
  <c r="V51" i="39"/>
  <c r="L18" i="37"/>
  <c r="D27" i="37"/>
  <c r="H109" i="36"/>
  <c r="T31" i="32"/>
  <c r="Z27" i="32"/>
  <c r="H27" i="37"/>
  <c r="N18" i="37"/>
  <c r="L18" i="28"/>
  <c r="D27" i="28"/>
  <c r="L18" i="29"/>
  <c r="N18" i="28"/>
  <c r="H27" i="28"/>
  <c r="J236" i="18"/>
  <c r="J228" i="18"/>
  <c r="J224" i="18"/>
  <c r="J218" i="18"/>
  <c r="J212" i="18"/>
  <c r="J208" i="18"/>
  <c r="J204" i="18"/>
  <c r="J200" i="18"/>
  <c r="J196" i="18"/>
  <c r="J192" i="18"/>
  <c r="J186" i="18"/>
  <c r="J180" i="18"/>
  <c r="J172" i="18"/>
  <c r="J168" i="18"/>
  <c r="J160" i="18"/>
  <c r="J148" i="18"/>
  <c r="J142" i="18"/>
  <c r="J132" i="18"/>
  <c r="J124" i="18"/>
  <c r="J116" i="18"/>
  <c r="J108" i="18"/>
  <c r="J100" i="18"/>
  <c r="J231" i="18"/>
  <c r="J221" i="18"/>
  <c r="J211" i="18"/>
  <c r="J203" i="18"/>
  <c r="J199" i="18"/>
  <c r="J195" i="18"/>
  <c r="J189" i="18"/>
  <c r="J183" i="18"/>
  <c r="J177" i="18"/>
  <c r="J171" i="18"/>
  <c r="J165" i="18"/>
  <c r="J159" i="18"/>
  <c r="J153" i="18"/>
  <c r="J147" i="18"/>
  <c r="J131" i="18"/>
  <c r="J123" i="18"/>
  <c r="J115" i="18"/>
  <c r="J107" i="18"/>
  <c r="J99" i="18"/>
  <c r="J240" i="18"/>
  <c r="J234" i="18"/>
  <c r="J194" i="18"/>
  <c r="J174" i="18"/>
  <c r="J162" i="18"/>
  <c r="J158" i="18"/>
  <c r="J146" i="18"/>
  <c r="H139" i="18"/>
  <c r="J130" i="18"/>
  <c r="J122" i="18"/>
  <c r="J114" i="18"/>
  <c r="J106" i="18"/>
  <c r="J98" i="18"/>
  <c r="J92" i="18"/>
  <c r="J227" i="18"/>
  <c r="J223" i="18"/>
  <c r="J217" i="18"/>
  <c r="J207" i="18"/>
  <c r="J191" i="18"/>
  <c r="J185" i="18"/>
  <c r="J179" i="18"/>
  <c r="J167" i="18"/>
  <c r="J157" i="18"/>
  <c r="J145" i="18"/>
  <c r="J137" i="18"/>
  <c r="J129" i="18"/>
  <c r="J121" i="18"/>
  <c r="J113" i="18"/>
  <c r="J105" i="18"/>
  <c r="J97" i="18"/>
  <c r="J235" i="18"/>
  <c r="J219" i="18"/>
  <c r="J215" i="18"/>
  <c r="J193" i="18"/>
  <c r="J187" i="18"/>
  <c r="J173" i="18"/>
  <c r="J161" i="18"/>
  <c r="J155" i="18"/>
  <c r="J151" i="18"/>
  <c r="J143" i="18"/>
  <c r="J141" i="18"/>
  <c r="J135" i="18"/>
  <c r="J127" i="18"/>
  <c r="J119" i="18"/>
  <c r="J111" i="18"/>
  <c r="J103" i="18"/>
  <c r="J95" i="18"/>
  <c r="J230" i="18"/>
  <c r="J226" i="18"/>
  <c r="J222" i="18"/>
  <c r="J214" i="18"/>
  <c r="J206" i="18"/>
  <c r="J190" i="18"/>
  <c r="J184" i="18"/>
  <c r="J178" i="18"/>
  <c r="J166" i="18"/>
  <c r="J154" i="18"/>
  <c r="J150" i="18"/>
  <c r="J134" i="18"/>
  <c r="J126" i="18"/>
  <c r="J118" i="18"/>
  <c r="J110" i="18"/>
  <c r="J102" i="18"/>
  <c r="J94" i="18"/>
  <c r="J233" i="18"/>
  <c r="J225" i="18"/>
  <c r="J213" i="18"/>
  <c r="J209" i="18"/>
  <c r="J205" i="18"/>
  <c r="J201" i="18"/>
  <c r="J197" i="18"/>
  <c r="J181" i="18"/>
  <c r="J175" i="18"/>
  <c r="J169" i="18"/>
  <c r="J163" i="18"/>
  <c r="J149" i="18"/>
  <c r="J133" i="18"/>
  <c r="J125" i="18"/>
  <c r="J117" i="18"/>
  <c r="J109" i="18"/>
  <c r="J101" i="18"/>
  <c r="J93" i="18"/>
  <c r="J202" i="18"/>
  <c r="J170" i="18"/>
  <c r="J112" i="18"/>
  <c r="J96" i="18"/>
  <c r="J232" i="18"/>
  <c r="J216" i="18"/>
  <c r="J156" i="18"/>
  <c r="J220" i="18"/>
  <c r="J136" i="18"/>
  <c r="J120" i="18"/>
  <c r="J210" i="18"/>
  <c r="J182" i="18"/>
  <c r="J104" i="18"/>
  <c r="J198" i="18"/>
  <c r="J188" i="18"/>
  <c r="J128" i="18"/>
  <c r="J176" i="18"/>
  <c r="J152" i="18"/>
  <c r="J144" i="18"/>
  <c r="J164" i="18"/>
  <c r="D90" i="24"/>
  <c r="D31" i="13"/>
  <c r="T27" i="8"/>
  <c r="Z18" i="8"/>
  <c r="T27" i="4"/>
  <c r="Z18" i="4"/>
  <c r="L18" i="17"/>
  <c r="H87" i="9"/>
  <c r="N16" i="9"/>
  <c r="P82" i="21"/>
  <c r="X27" i="21"/>
  <c r="L18" i="14"/>
  <c r="D27" i="14"/>
  <c r="N27" i="11"/>
  <c r="H31" i="11"/>
  <c r="J211" i="15"/>
  <c r="J203" i="15"/>
  <c r="J191" i="15"/>
  <c r="J187" i="15"/>
  <c r="J183" i="15"/>
  <c r="J179" i="15"/>
  <c r="J175" i="15"/>
  <c r="J159" i="15"/>
  <c r="J153" i="15"/>
  <c r="J147" i="15"/>
  <c r="J141" i="15"/>
  <c r="J206" i="15"/>
  <c r="J202" i="15"/>
  <c r="J196" i="15"/>
  <c r="J190" i="15"/>
  <c r="J186" i="15"/>
  <c r="J182" i="15"/>
  <c r="J178" i="15"/>
  <c r="J174" i="15"/>
  <c r="J170" i="15"/>
  <c r="J164" i="15"/>
  <c r="J158" i="15"/>
  <c r="J150" i="15"/>
  <c r="J146" i="15"/>
  <c r="J209" i="15"/>
  <c r="J199" i="15"/>
  <c r="J189" i="15"/>
  <c r="J181" i="15"/>
  <c r="J177" i="15"/>
  <c r="J173" i="15"/>
  <c r="J167" i="15"/>
  <c r="J161" i="15"/>
  <c r="J155" i="15"/>
  <c r="J212" i="15"/>
  <c r="J172" i="15"/>
  <c r="J152" i="15"/>
  <c r="J216" i="15"/>
  <c r="J210" i="15"/>
  <c r="J198" i="15"/>
  <c r="J194" i="15"/>
  <c r="J188" i="15"/>
  <c r="J180" i="15"/>
  <c r="J176" i="15"/>
  <c r="J166" i="15"/>
  <c r="J160" i="15"/>
  <c r="J154" i="15"/>
  <c r="J148" i="15"/>
  <c r="J142" i="15"/>
  <c r="J197" i="15"/>
  <c r="J193" i="15"/>
  <c r="J171" i="15"/>
  <c r="J165" i="15"/>
  <c r="J208" i="15"/>
  <c r="J204" i="15"/>
  <c r="J200" i="15"/>
  <c r="J192" i="15"/>
  <c r="J184" i="15"/>
  <c r="J168" i="15"/>
  <c r="J162" i="15"/>
  <c r="J156" i="15"/>
  <c r="J144" i="15"/>
  <c r="J169" i="15"/>
  <c r="J131" i="15"/>
  <c r="J125" i="15"/>
  <c r="J117" i="15"/>
  <c r="J109" i="15"/>
  <c r="J101" i="15"/>
  <c r="J93" i="15"/>
  <c r="J85" i="15"/>
  <c r="J201" i="15"/>
  <c r="J195" i="15"/>
  <c r="J139" i="15"/>
  <c r="J124" i="15"/>
  <c r="H117" i="15"/>
  <c r="J108" i="15"/>
  <c r="J100" i="15"/>
  <c r="J92" i="15"/>
  <c r="J84" i="15"/>
  <c r="J78" i="15"/>
  <c r="J123" i="15"/>
  <c r="J115" i="15"/>
  <c r="J107" i="15"/>
  <c r="J99" i="15"/>
  <c r="J91" i="15"/>
  <c r="J83" i="15"/>
  <c r="J149" i="15"/>
  <c r="J134" i="15"/>
  <c r="J133" i="15"/>
  <c r="J129" i="15"/>
  <c r="J121" i="15"/>
  <c r="J119" i="15"/>
  <c r="J113" i="15"/>
  <c r="J105" i="15"/>
  <c r="J97" i="15"/>
  <c r="J89" i="15"/>
  <c r="J81" i="15"/>
  <c r="J185" i="15"/>
  <c r="J163" i="15"/>
  <c r="J151" i="15"/>
  <c r="J143" i="15"/>
  <c r="J127" i="15"/>
  <c r="J111" i="15"/>
  <c r="J103" i="15"/>
  <c r="J95" i="15"/>
  <c r="J87" i="15"/>
  <c r="J79" i="15"/>
  <c r="J157" i="15"/>
  <c r="J145" i="15"/>
  <c r="J140" i="15"/>
  <c r="J126" i="15"/>
  <c r="J120" i="15"/>
  <c r="J110" i="15"/>
  <c r="J102" i="15"/>
  <c r="J94" i="15"/>
  <c r="J86" i="15"/>
  <c r="J135" i="15"/>
  <c r="J138" i="15"/>
  <c r="J130" i="15"/>
  <c r="J112" i="15"/>
  <c r="J98" i="15"/>
  <c r="J90" i="15"/>
  <c r="J82" i="15"/>
  <c r="J104" i="15"/>
  <c r="J136" i="15"/>
  <c r="J114" i="15"/>
  <c r="J137" i="15"/>
  <c r="J106" i="15"/>
  <c r="J132" i="15"/>
  <c r="J205" i="15"/>
  <c r="J96" i="15"/>
  <c r="J128" i="15"/>
  <c r="J88" i="15"/>
  <c r="J80" i="15"/>
  <c r="J122" i="15"/>
  <c r="T26" i="6"/>
  <c r="Z22" i="6"/>
  <c r="P27" i="20"/>
  <c r="X18" i="20"/>
  <c r="X12" i="3"/>
  <c r="F246" i="3"/>
  <c r="Z246" i="3"/>
  <c r="D22" i="6"/>
  <c r="L16" i="6"/>
  <c r="D222" i="12"/>
  <c r="R246" i="3"/>
  <c r="J67" i="85"/>
  <c r="J63" i="85"/>
  <c r="J59" i="85"/>
  <c r="J55" i="85"/>
  <c r="J47" i="85"/>
  <c r="J41" i="85"/>
  <c r="J35" i="85"/>
  <c r="J31" i="85"/>
  <c r="J74" i="85"/>
  <c r="J66" i="85"/>
  <c r="J58" i="85"/>
  <c r="J52" i="85"/>
  <c r="J38" i="85"/>
  <c r="J34" i="85"/>
  <c r="J30" i="85"/>
  <c r="J16" i="85"/>
  <c r="J77" i="85"/>
  <c r="J71" i="85"/>
  <c r="J65" i="85"/>
  <c r="J49" i="85"/>
  <c r="J43" i="85"/>
  <c r="J33" i="85"/>
  <c r="J29" i="85"/>
  <c r="J23" i="85"/>
  <c r="J62" i="85"/>
  <c r="J54" i="85"/>
  <c r="J46" i="85"/>
  <c r="J40" i="85"/>
  <c r="J28" i="85"/>
  <c r="N12" i="85"/>
  <c r="J81" i="85"/>
  <c r="J73" i="85"/>
  <c r="J57" i="85"/>
  <c r="J51" i="85"/>
  <c r="J37" i="85"/>
  <c r="J27" i="85"/>
  <c r="H20" i="85"/>
  <c r="J70" i="85"/>
  <c r="J64" i="85"/>
  <c r="J48" i="85"/>
  <c r="J42" i="85"/>
  <c r="J32" i="85"/>
  <c r="J26" i="85"/>
  <c r="J18" i="85"/>
  <c r="J68" i="85"/>
  <c r="J60" i="85"/>
  <c r="J50" i="85"/>
  <c r="J39" i="85"/>
  <c r="J76" i="85"/>
  <c r="J72" i="85"/>
  <c r="J61" i="85"/>
  <c r="J45" i="85"/>
  <c r="J25" i="85"/>
  <c r="J69" i="85"/>
  <c r="J36" i="85"/>
  <c r="J22" i="85"/>
  <c r="J56" i="85"/>
  <c r="J53" i="85"/>
  <c r="J17" i="85"/>
  <c r="J44" i="85"/>
  <c r="J24" i="85"/>
  <c r="H38" i="83"/>
  <c r="N16" i="83"/>
  <c r="V22" i="78"/>
  <c r="V18" i="78"/>
  <c r="V17" i="78"/>
  <c r="V30" i="78"/>
  <c r="V24" i="78"/>
  <c r="V16" i="78"/>
  <c r="V23" i="78"/>
  <c r="V20" i="78"/>
  <c r="V26" i="78"/>
  <c r="Z12" i="78"/>
  <c r="T20" i="78"/>
  <c r="X16" i="55"/>
  <c r="P30" i="55"/>
  <c r="D31" i="29"/>
  <c r="R232" i="18"/>
  <c r="R217" i="18"/>
  <c r="R210" i="18"/>
  <c r="R202" i="18"/>
  <c r="R198" i="18"/>
  <c r="R185" i="18"/>
  <c r="R182" i="18"/>
  <c r="R170" i="18"/>
  <c r="R157" i="18"/>
  <c r="R145" i="18"/>
  <c r="R137" i="18"/>
  <c r="R129" i="18"/>
  <c r="R121" i="18"/>
  <c r="R113" i="18"/>
  <c r="R105" i="18"/>
  <c r="R97" i="18"/>
  <c r="R235" i="18"/>
  <c r="R220" i="18"/>
  <c r="R216" i="18"/>
  <c r="R193" i="18"/>
  <c r="R188" i="18"/>
  <c r="R176" i="18"/>
  <c r="R173" i="18"/>
  <c r="R164" i="18"/>
  <c r="R161" i="18"/>
  <c r="R156" i="18"/>
  <c r="R152" i="18"/>
  <c r="R144" i="18"/>
  <c r="R141" i="18"/>
  <c r="R136" i="18"/>
  <c r="R128" i="18"/>
  <c r="R120" i="18"/>
  <c r="R112" i="18"/>
  <c r="R104" i="18"/>
  <c r="R96" i="18"/>
  <c r="R230" i="18"/>
  <c r="R219" i="18"/>
  <c r="R215" i="18"/>
  <c r="R187" i="18"/>
  <c r="R184" i="18"/>
  <c r="R155" i="18"/>
  <c r="R151" i="18"/>
  <c r="R143" i="18"/>
  <c r="R135" i="18"/>
  <c r="R127" i="18"/>
  <c r="R119" i="18"/>
  <c r="R111" i="18"/>
  <c r="R103" i="18"/>
  <c r="R95" i="18"/>
  <c r="R233" i="18"/>
  <c r="R226" i="18"/>
  <c r="R222" i="18"/>
  <c r="R214" i="18"/>
  <c r="R206" i="18"/>
  <c r="R190" i="18"/>
  <c r="R178" i="18"/>
  <c r="R175" i="18"/>
  <c r="R166" i="18"/>
  <c r="R163" i="18"/>
  <c r="R154" i="18"/>
  <c r="R150" i="18"/>
  <c r="R134" i="18"/>
  <c r="R126" i="18"/>
  <c r="R118" i="18"/>
  <c r="R110" i="18"/>
  <c r="R102" i="18"/>
  <c r="R94" i="18"/>
  <c r="R231" i="18"/>
  <c r="R228" i="18"/>
  <c r="R224" i="18"/>
  <c r="R221" i="18"/>
  <c r="R212" i="18"/>
  <c r="R208" i="18"/>
  <c r="R204" i="18"/>
  <c r="R200" i="18"/>
  <c r="R196" i="18"/>
  <c r="R192" i="18"/>
  <c r="R189" i="18"/>
  <c r="R180" i="18"/>
  <c r="R177" i="18"/>
  <c r="R172" i="18"/>
  <c r="R168" i="18"/>
  <c r="R165" i="18"/>
  <c r="R160" i="18"/>
  <c r="R153" i="18"/>
  <c r="R148" i="18"/>
  <c r="R132" i="18"/>
  <c r="R124" i="18"/>
  <c r="R116" i="18"/>
  <c r="R108" i="18"/>
  <c r="R100" i="18"/>
  <c r="X12" i="18"/>
  <c r="Z12" i="18" s="1"/>
  <c r="R234" i="18"/>
  <c r="R211" i="18"/>
  <c r="R203" i="18"/>
  <c r="R199" i="18"/>
  <c r="R195" i="18"/>
  <c r="R183" i="18"/>
  <c r="R171" i="18"/>
  <c r="R159" i="18"/>
  <c r="R147" i="18"/>
  <c r="P139" i="18"/>
  <c r="R131" i="18"/>
  <c r="R123" i="18"/>
  <c r="R115" i="18"/>
  <c r="R107" i="18"/>
  <c r="R99" i="18"/>
  <c r="R92" i="18"/>
  <c r="R240" i="18"/>
  <c r="R227" i="18"/>
  <c r="R223" i="18"/>
  <c r="R207" i="18"/>
  <c r="R194" i="18"/>
  <c r="R191" i="18"/>
  <c r="R179" i="18"/>
  <c r="R174" i="18"/>
  <c r="R167" i="18"/>
  <c r="R162" i="18"/>
  <c r="R158" i="18"/>
  <c r="R146" i="18"/>
  <c r="R130" i="18"/>
  <c r="R122" i="18"/>
  <c r="R114" i="18"/>
  <c r="R106" i="18"/>
  <c r="R98" i="18"/>
  <c r="R205" i="18"/>
  <c r="R125" i="18"/>
  <c r="R218" i="18"/>
  <c r="R209" i="18"/>
  <c r="R181" i="18"/>
  <c r="R236" i="18"/>
  <c r="R213" i="18"/>
  <c r="R197" i="18"/>
  <c r="R142" i="18"/>
  <c r="R93" i="18"/>
  <c r="R201" i="18"/>
  <c r="R169" i="18"/>
  <c r="R117" i="18"/>
  <c r="R101" i="18"/>
  <c r="R225" i="18"/>
  <c r="R149" i="18"/>
  <c r="R186" i="18"/>
  <c r="R109" i="18"/>
  <c r="R133" i="18"/>
  <c r="J216" i="12"/>
  <c r="J212" i="12"/>
  <c r="J208" i="12"/>
  <c r="J200" i="12"/>
  <c r="J192" i="12"/>
  <c r="J178" i="12"/>
  <c r="J172" i="12"/>
  <c r="J164" i="12"/>
  <c r="J158" i="12"/>
  <c r="J152" i="12"/>
  <c r="J146" i="12"/>
  <c r="J132" i="12"/>
  <c r="J116" i="12"/>
  <c r="J108" i="12"/>
  <c r="J100" i="12"/>
  <c r="J92" i="12"/>
  <c r="J84" i="12"/>
  <c r="N12" i="12"/>
  <c r="J219" i="12"/>
  <c r="J211" i="12"/>
  <c r="J199" i="12"/>
  <c r="J195" i="12"/>
  <c r="J191" i="12"/>
  <c r="J175" i="12"/>
  <c r="J169" i="12"/>
  <c r="J163" i="12"/>
  <c r="J155" i="12"/>
  <c r="J151" i="12"/>
  <c r="J143" i="12"/>
  <c r="J131" i="12"/>
  <c r="J125" i="12"/>
  <c r="J115" i="12"/>
  <c r="J107" i="12"/>
  <c r="J99" i="12"/>
  <c r="J91" i="12"/>
  <c r="J83" i="12"/>
  <c r="J214" i="12"/>
  <c r="J210" i="12"/>
  <c r="J204" i="12"/>
  <c r="J198" i="12"/>
  <c r="J194" i="12"/>
  <c r="J190" i="12"/>
  <c r="J186" i="12"/>
  <c r="J182" i="12"/>
  <c r="J166" i="12"/>
  <c r="J160" i="12"/>
  <c r="J154" i="12"/>
  <c r="J148" i="12"/>
  <c r="J142" i="12"/>
  <c r="J136" i="12"/>
  <c r="J130" i="12"/>
  <c r="J114" i="12"/>
  <c r="J106" i="12"/>
  <c r="J98" i="12"/>
  <c r="J90" i="12"/>
  <c r="J82" i="12"/>
  <c r="J220" i="12"/>
  <c r="J188" i="12"/>
  <c r="J184" i="12"/>
  <c r="J180" i="12"/>
  <c r="J174" i="12"/>
  <c r="J168" i="12"/>
  <c r="J162" i="12"/>
  <c r="J150" i="12"/>
  <c r="J140" i="12"/>
  <c r="J128" i="12"/>
  <c r="J120" i="12"/>
  <c r="J112" i="12"/>
  <c r="J104" i="12"/>
  <c r="J96" i="12"/>
  <c r="J88" i="12"/>
  <c r="J224" i="12"/>
  <c r="J218" i="12"/>
  <c r="J206" i="12"/>
  <c r="J202" i="12"/>
  <c r="J196" i="12"/>
  <c r="J176" i="12"/>
  <c r="J170" i="12"/>
  <c r="J156" i="12"/>
  <c r="J144" i="12"/>
  <c r="J138" i="12"/>
  <c r="J134" i="12"/>
  <c r="J126" i="12"/>
  <c r="J124" i="12"/>
  <c r="J118" i="12"/>
  <c r="J110" i="12"/>
  <c r="J102" i="12"/>
  <c r="J94" i="12"/>
  <c r="J86" i="12"/>
  <c r="J205" i="12"/>
  <c r="J201" i="12"/>
  <c r="J187" i="12"/>
  <c r="J183" i="12"/>
  <c r="J173" i="12"/>
  <c r="J167" i="12"/>
  <c r="J161" i="12"/>
  <c r="J149" i="12"/>
  <c r="J137" i="12"/>
  <c r="J133" i="12"/>
  <c r="J117" i="12"/>
  <c r="J109" i="12"/>
  <c r="J101" i="12"/>
  <c r="J93" i="12"/>
  <c r="J85" i="12"/>
  <c r="J197" i="12"/>
  <c r="J179" i="12"/>
  <c r="J153" i="12"/>
  <c r="J89" i="12"/>
  <c r="J217" i="12"/>
  <c r="J207" i="12"/>
  <c r="J203" i="12"/>
  <c r="J129" i="12"/>
  <c r="H122" i="12"/>
  <c r="J122" i="12" s="1"/>
  <c r="J111" i="12"/>
  <c r="J95" i="12"/>
  <c r="J177" i="12"/>
  <c r="J213" i="12"/>
  <c r="J159" i="12"/>
  <c r="J87" i="12"/>
  <c r="J181" i="12"/>
  <c r="J147" i="12"/>
  <c r="J119" i="12"/>
  <c r="J81" i="12"/>
  <c r="J185" i="12"/>
  <c r="J171" i="12"/>
  <c r="J165" i="12"/>
  <c r="J113" i="12"/>
  <c r="J97" i="12"/>
  <c r="J193" i="12"/>
  <c r="J189" i="12"/>
  <c r="J157" i="12"/>
  <c r="J145" i="12"/>
  <c r="J139" i="12"/>
  <c r="J103" i="12"/>
  <c r="J135" i="12"/>
  <c r="J209" i="12"/>
  <c r="J127" i="12"/>
  <c r="J141" i="12"/>
  <c r="J105" i="12"/>
  <c r="L18" i="4"/>
  <c r="D27" i="4"/>
  <c r="Z18" i="99"/>
  <c r="T27" i="99"/>
  <c r="N18" i="98"/>
  <c r="H27" i="98"/>
  <c r="N16" i="93"/>
  <c r="H24" i="93"/>
  <c r="T24" i="93"/>
  <c r="Z16" i="93"/>
  <c r="D77" i="92"/>
  <c r="L21" i="92"/>
  <c r="T77" i="92"/>
  <c r="H53" i="91"/>
  <c r="T46" i="91"/>
  <c r="Z16" i="91"/>
  <c r="D70" i="86"/>
  <c r="P79" i="85"/>
  <c r="X20" i="85"/>
  <c r="J41" i="84"/>
  <c r="J34" i="84"/>
  <c r="J26" i="84"/>
  <c r="J28" i="84"/>
  <c r="J20" i="84"/>
  <c r="J25" i="84"/>
  <c r="J38" i="84"/>
  <c r="J32" i="84"/>
  <c r="J22" i="84"/>
  <c r="J27" i="84"/>
  <c r="J23" i="84"/>
  <c r="J21" i="84"/>
  <c r="J36" i="84"/>
  <c r="J29" i="84"/>
  <c r="J17" i="84"/>
  <c r="J30" i="84"/>
  <c r="H17" i="84"/>
  <c r="J19" i="84"/>
  <c r="J15" i="84"/>
  <c r="J24" i="84"/>
  <c r="N12" i="84"/>
  <c r="L12" i="84"/>
  <c r="X16" i="81"/>
  <c r="X16" i="80"/>
  <c r="P32" i="80"/>
  <c r="X16" i="82"/>
  <c r="P32" i="82"/>
  <c r="T44" i="74"/>
  <c r="Z17" i="74"/>
  <c r="X17" i="74"/>
  <c r="H44" i="61"/>
  <c r="N16" i="61"/>
  <c r="P45" i="60"/>
  <c r="X16" i="60"/>
  <c r="Z18" i="53"/>
  <c r="T27" i="53"/>
  <c r="N16" i="60"/>
  <c r="H45" i="60"/>
  <c r="D59" i="57"/>
  <c r="L16" i="57"/>
  <c r="D26" i="54"/>
  <c r="L22" i="54"/>
  <c r="P32" i="65"/>
  <c r="X16" i="65"/>
  <c r="Z59" i="48"/>
  <c r="D49" i="60"/>
  <c r="V91" i="51"/>
  <c r="V85" i="51"/>
  <c r="V81" i="51"/>
  <c r="V73" i="51"/>
  <c r="V88" i="51"/>
  <c r="V97" i="51"/>
  <c r="V87" i="51"/>
  <c r="V75" i="51"/>
  <c r="V92" i="51"/>
  <c r="V78" i="51"/>
  <c r="V74" i="51"/>
  <c r="V86" i="51"/>
  <c r="V82" i="51"/>
  <c r="V79" i="51"/>
  <c r="V69" i="51"/>
  <c r="V65" i="51"/>
  <c r="V61" i="51"/>
  <c r="V53" i="51"/>
  <c r="V45" i="51"/>
  <c r="V37" i="51"/>
  <c r="V84" i="51"/>
  <c r="V80" i="51"/>
  <c r="V76" i="51"/>
  <c r="V68" i="51"/>
  <c r="V64" i="51"/>
  <c r="V60" i="51"/>
  <c r="V52" i="51"/>
  <c r="V44" i="51"/>
  <c r="V36" i="51"/>
  <c r="V90" i="51"/>
  <c r="V71" i="51"/>
  <c r="V63" i="51"/>
  <c r="V59" i="51"/>
  <c r="V43" i="51"/>
  <c r="V35" i="51"/>
  <c r="V70" i="51"/>
  <c r="V62" i="51"/>
  <c r="V58" i="51"/>
  <c r="T49" i="51"/>
  <c r="V49" i="51" s="1"/>
  <c r="V42" i="51"/>
  <c r="V77" i="51"/>
  <c r="V72" i="51"/>
  <c r="V67" i="51"/>
  <c r="V55" i="51"/>
  <c r="V51" i="51"/>
  <c r="V47" i="51"/>
  <c r="V39" i="51"/>
  <c r="V83" i="51"/>
  <c r="V66" i="51"/>
  <c r="V54" i="51"/>
  <c r="V46" i="51"/>
  <c r="V38" i="51"/>
  <c r="V56" i="51"/>
  <c r="V57" i="51"/>
  <c r="V40" i="51"/>
  <c r="V41" i="51"/>
  <c r="V93" i="51"/>
  <c r="R93" i="51"/>
  <c r="R86" i="51"/>
  <c r="R82" i="51"/>
  <c r="R79" i="51"/>
  <c r="R91" i="51"/>
  <c r="R88" i="51"/>
  <c r="R85" i="51"/>
  <c r="R81" i="51"/>
  <c r="R76" i="51"/>
  <c r="R97" i="51"/>
  <c r="R75" i="51"/>
  <c r="R72" i="51"/>
  <c r="R87" i="51"/>
  <c r="R90" i="51"/>
  <c r="R83" i="51"/>
  <c r="R77" i="51"/>
  <c r="R66" i="51"/>
  <c r="R54" i="51"/>
  <c r="R51" i="51"/>
  <c r="R46" i="51"/>
  <c r="R38" i="51"/>
  <c r="R69" i="51"/>
  <c r="R65" i="51"/>
  <c r="R61" i="51"/>
  <c r="R53" i="51"/>
  <c r="R45" i="51"/>
  <c r="R37" i="51"/>
  <c r="R84" i="51"/>
  <c r="R80" i="51"/>
  <c r="R78" i="51"/>
  <c r="R64" i="51"/>
  <c r="R60" i="51"/>
  <c r="R44" i="51"/>
  <c r="R36" i="51"/>
  <c r="X12" i="51"/>
  <c r="Z12" i="51" s="1"/>
  <c r="R71" i="51"/>
  <c r="R68" i="51"/>
  <c r="R63" i="51"/>
  <c r="R59" i="51"/>
  <c r="R52" i="51"/>
  <c r="R43" i="51"/>
  <c r="R74" i="51"/>
  <c r="R56" i="51"/>
  <c r="R40" i="51"/>
  <c r="R73" i="51"/>
  <c r="R67" i="51"/>
  <c r="R55" i="51"/>
  <c r="R47" i="51"/>
  <c r="R39" i="51"/>
  <c r="R62" i="51"/>
  <c r="R42" i="51"/>
  <c r="R70" i="51"/>
  <c r="R49" i="51"/>
  <c r="R57" i="51"/>
  <c r="P49" i="51"/>
  <c r="R35" i="51"/>
  <c r="R92" i="51"/>
  <c r="R58" i="51"/>
  <c r="R41" i="51"/>
  <c r="D98" i="42"/>
  <c r="L23" i="42"/>
  <c r="T27" i="41"/>
  <c r="X27" i="41" s="1"/>
  <c r="Z18" i="41"/>
  <c r="H27" i="46"/>
  <c r="N18" i="46"/>
  <c r="L18" i="40"/>
  <c r="D27" i="40"/>
  <c r="P62" i="48"/>
  <c r="V100" i="42"/>
  <c r="V90" i="42"/>
  <c r="V78" i="42"/>
  <c r="V70" i="42"/>
  <c r="V58" i="42"/>
  <c r="V50" i="42"/>
  <c r="V42" i="42"/>
  <c r="V38" i="42"/>
  <c r="V34" i="42"/>
  <c r="V26" i="42"/>
  <c r="V95" i="42"/>
  <c r="V85" i="42"/>
  <c r="V77" i="42"/>
  <c r="V61" i="42"/>
  <c r="V53" i="42"/>
  <c r="V41" i="42"/>
  <c r="V37" i="42"/>
  <c r="V33" i="42"/>
  <c r="V84" i="42"/>
  <c r="V60" i="42"/>
  <c r="V52" i="42"/>
  <c r="V44" i="42"/>
  <c r="V36" i="42"/>
  <c r="V32" i="42"/>
  <c r="T23" i="42"/>
  <c r="V93" i="42"/>
  <c r="V87" i="42"/>
  <c r="V83" i="42"/>
  <c r="V67" i="42"/>
  <c r="V63" i="42"/>
  <c r="V55" i="42"/>
  <c r="V43" i="42"/>
  <c r="V35" i="42"/>
  <c r="V31" i="42"/>
  <c r="V96" i="42"/>
  <c r="V86" i="42"/>
  <c r="V82" i="42"/>
  <c r="V74" i="42"/>
  <c r="V66" i="42"/>
  <c r="V62" i="42"/>
  <c r="V54" i="42"/>
  <c r="V46" i="42"/>
  <c r="V30" i="42"/>
  <c r="V89" i="42"/>
  <c r="V81" i="42"/>
  <c r="V73" i="42"/>
  <c r="V69" i="42"/>
  <c r="V65" i="42"/>
  <c r="V57" i="42"/>
  <c r="V49" i="42"/>
  <c r="V45" i="42"/>
  <c r="V29" i="42"/>
  <c r="V25" i="42"/>
  <c r="V21" i="42"/>
  <c r="V94" i="42"/>
  <c r="V88" i="42"/>
  <c r="V80" i="42"/>
  <c r="V76" i="42"/>
  <c r="V72" i="42"/>
  <c r="V68" i="42"/>
  <c r="V64" i="42"/>
  <c r="V56" i="42"/>
  <c r="V48" i="42"/>
  <c r="V40" i="42"/>
  <c r="V28" i="42"/>
  <c r="V20" i="42"/>
  <c r="V59" i="42"/>
  <c r="V51" i="42"/>
  <c r="V79" i="42"/>
  <c r="V71" i="42"/>
  <c r="V39" i="42"/>
  <c r="V27" i="42"/>
  <c r="V91" i="42"/>
  <c r="V75" i="42"/>
  <c r="V47" i="42"/>
  <c r="V19" i="42"/>
  <c r="Z93" i="42"/>
  <c r="X18" i="32"/>
  <c r="P27" i="32"/>
  <c r="T27" i="26"/>
  <c r="Z18" i="26"/>
  <c r="L18" i="25"/>
  <c r="D27" i="25"/>
  <c r="V106" i="36"/>
  <c r="V92" i="36"/>
  <c r="V84" i="36"/>
  <c r="V68" i="36"/>
  <c r="V60" i="36"/>
  <c r="V107" i="36"/>
  <c r="V97" i="36"/>
  <c r="V89" i="36"/>
  <c r="V81" i="36"/>
  <c r="V73" i="36"/>
  <c r="V69" i="36"/>
  <c r="V61" i="36"/>
  <c r="V53" i="36"/>
  <c r="V100" i="36"/>
  <c r="V96" i="36"/>
  <c r="V88" i="36"/>
  <c r="V80" i="36"/>
  <c r="V76" i="36"/>
  <c r="V72" i="36"/>
  <c r="V64" i="36"/>
  <c r="V56" i="36"/>
  <c r="V102" i="36"/>
  <c r="V98" i="36"/>
  <c r="V86" i="36"/>
  <c r="V82" i="36"/>
  <c r="V78" i="36"/>
  <c r="V66" i="36"/>
  <c r="V58" i="36"/>
  <c r="V46" i="36"/>
  <c r="V101" i="36"/>
  <c r="V95" i="36"/>
  <c r="V93" i="36"/>
  <c r="V52" i="36"/>
  <c r="V50" i="36"/>
  <c r="V47" i="36"/>
  <c r="V32" i="36"/>
  <c r="V79" i="36"/>
  <c r="V74" i="36"/>
  <c r="V63" i="36"/>
  <c r="V57" i="36"/>
  <c r="V51" i="36"/>
  <c r="V43" i="36"/>
  <c r="V31" i="36"/>
  <c r="V105" i="36"/>
  <c r="V85" i="36"/>
  <c r="V71" i="36"/>
  <c r="V65" i="36"/>
  <c r="V59" i="36"/>
  <c r="V42" i="36"/>
  <c r="V30" i="36"/>
  <c r="V26" i="36"/>
  <c r="V22" i="36"/>
  <c r="V99" i="36"/>
  <c r="V67" i="36"/>
  <c r="V55" i="36"/>
  <c r="V45" i="36"/>
  <c r="V41" i="36"/>
  <c r="V29" i="36"/>
  <c r="V21" i="36"/>
  <c r="V111" i="36"/>
  <c r="V94" i="36"/>
  <c r="V75" i="36"/>
  <c r="V38" i="36"/>
  <c r="V34" i="36"/>
  <c r="V83" i="36"/>
  <c r="V54" i="36"/>
  <c r="V37" i="36"/>
  <c r="V33" i="36"/>
  <c r="T24" i="36"/>
  <c r="V24" i="36" s="1"/>
  <c r="V70" i="36"/>
  <c r="V90" i="36"/>
  <c r="V35" i="36"/>
  <c r="V27" i="36"/>
  <c r="Z12" i="36"/>
  <c r="V104" i="36"/>
  <c r="V49" i="36"/>
  <c r="V39" i="36"/>
  <c r="V91" i="36"/>
  <c r="V62" i="36"/>
  <c r="V36" i="36"/>
  <c r="V28" i="36"/>
  <c r="V20" i="36"/>
  <c r="V77" i="36"/>
  <c r="V40" i="36"/>
  <c r="V87" i="36"/>
  <c r="V48" i="36"/>
  <c r="V44" i="36"/>
  <c r="T27" i="47"/>
  <c r="Z18" i="47"/>
  <c r="P27" i="35"/>
  <c r="X18" i="35"/>
  <c r="R75" i="24"/>
  <c r="R68" i="24"/>
  <c r="R63" i="24"/>
  <c r="R59" i="24"/>
  <c r="R56" i="24"/>
  <c r="R35" i="24"/>
  <c r="R88" i="24"/>
  <c r="R82" i="24"/>
  <c r="R79" i="24"/>
  <c r="R71" i="24"/>
  <c r="R62" i="24"/>
  <c r="P42" i="24"/>
  <c r="R34" i="24"/>
  <c r="R74" i="24"/>
  <c r="R65" i="24"/>
  <c r="R58" i="24"/>
  <c r="R53" i="24"/>
  <c r="R49" i="24"/>
  <c r="R33" i="24"/>
  <c r="R81" i="24"/>
  <c r="R61" i="24"/>
  <c r="R52" i="24"/>
  <c r="R48" i="24"/>
  <c r="R40" i="24"/>
  <c r="R32" i="24"/>
  <c r="R67" i="24"/>
  <c r="R64" i="24"/>
  <c r="R55" i="24"/>
  <c r="R51" i="24"/>
  <c r="R47" i="24"/>
  <c r="R44" i="24"/>
  <c r="R39" i="24"/>
  <c r="R31" i="24"/>
  <c r="R78" i="24"/>
  <c r="R70" i="24"/>
  <c r="R46" i="24"/>
  <c r="R38" i="24"/>
  <c r="R84" i="24"/>
  <c r="R77" i="24"/>
  <c r="R73" i="24"/>
  <c r="R69" i="24"/>
  <c r="R66" i="24"/>
  <c r="R57" i="24"/>
  <c r="R54" i="24"/>
  <c r="R50" i="24"/>
  <c r="R37" i="24"/>
  <c r="R30" i="24"/>
  <c r="R72" i="24"/>
  <c r="R76" i="24"/>
  <c r="R60" i="24"/>
  <c r="X12" i="24"/>
  <c r="Z12" i="24" s="1"/>
  <c r="R36" i="24"/>
  <c r="R80" i="24"/>
  <c r="R45" i="24"/>
  <c r="F230" i="18"/>
  <c r="F225" i="18"/>
  <c r="F213" i="18"/>
  <c r="F209" i="18"/>
  <c r="F205" i="18"/>
  <c r="F201" i="18"/>
  <c r="F197" i="18"/>
  <c r="F184" i="18"/>
  <c r="F181" i="18"/>
  <c r="F169" i="18"/>
  <c r="F149" i="18"/>
  <c r="F133" i="18"/>
  <c r="F125" i="18"/>
  <c r="F117" i="18"/>
  <c r="F109" i="18"/>
  <c r="F101" i="18"/>
  <c r="F93" i="18"/>
  <c r="F233" i="18"/>
  <c r="F228" i="18"/>
  <c r="F224" i="18"/>
  <c r="F212" i="18"/>
  <c r="F208" i="18"/>
  <c r="F204" i="18"/>
  <c r="F200" i="18"/>
  <c r="F196" i="18"/>
  <c r="F192" i="18"/>
  <c r="F180" i="18"/>
  <c r="F175" i="18"/>
  <c r="F172" i="18"/>
  <c r="F168" i="18"/>
  <c r="F163" i="18"/>
  <c r="F160" i="18"/>
  <c r="F148" i="18"/>
  <c r="F132" i="18"/>
  <c r="F124" i="18"/>
  <c r="F116" i="18"/>
  <c r="F108" i="18"/>
  <c r="F100" i="18"/>
  <c r="L12" i="18"/>
  <c r="N12" i="18" s="1"/>
  <c r="F236" i="18"/>
  <c r="F218" i="18"/>
  <c r="F211" i="18"/>
  <c r="F203" i="18"/>
  <c r="F199" i="18"/>
  <c r="F195" i="18"/>
  <c r="F186" i="18"/>
  <c r="F183" i="18"/>
  <c r="F171" i="18"/>
  <c r="F159" i="18"/>
  <c r="F147" i="18"/>
  <c r="F142" i="18"/>
  <c r="F131" i="18"/>
  <c r="F123" i="18"/>
  <c r="F115" i="18"/>
  <c r="F107" i="18"/>
  <c r="F99" i="18"/>
  <c r="F240" i="18"/>
  <c r="F231" i="18"/>
  <c r="F221" i="18"/>
  <c r="F194" i="18"/>
  <c r="F189" i="18"/>
  <c r="F177" i="18"/>
  <c r="F174" i="18"/>
  <c r="F165" i="18"/>
  <c r="F162" i="18"/>
  <c r="F158" i="18"/>
  <c r="F153" i="18"/>
  <c r="F146" i="18"/>
  <c r="F139" i="18"/>
  <c r="F130" i="18"/>
  <c r="F122" i="18"/>
  <c r="F114" i="18"/>
  <c r="F106" i="18"/>
  <c r="F98" i="18"/>
  <c r="F227" i="18"/>
  <c r="F223" i="18"/>
  <c r="F220" i="18"/>
  <c r="F216" i="18"/>
  <c r="F207" i="18"/>
  <c r="F191" i="18"/>
  <c r="F188" i="18"/>
  <c r="F179" i="18"/>
  <c r="F176" i="18"/>
  <c r="F167" i="18"/>
  <c r="F164" i="18"/>
  <c r="F156" i="18"/>
  <c r="F152" i="18"/>
  <c r="F144" i="18"/>
  <c r="F136" i="18"/>
  <c r="F128" i="18"/>
  <c r="F120" i="18"/>
  <c r="F112" i="18"/>
  <c r="F104" i="18"/>
  <c r="F96" i="18"/>
  <c r="F232" i="18"/>
  <c r="F219" i="18"/>
  <c r="F215" i="18"/>
  <c r="F210" i="18"/>
  <c r="F202" i="18"/>
  <c r="F198" i="18"/>
  <c r="F187" i="18"/>
  <c r="F182" i="18"/>
  <c r="F170" i="18"/>
  <c r="F155" i="18"/>
  <c r="F151" i="18"/>
  <c r="F143" i="18"/>
  <c r="F135" i="18"/>
  <c r="F127" i="18"/>
  <c r="F119" i="18"/>
  <c r="F111" i="18"/>
  <c r="F103" i="18"/>
  <c r="F95" i="18"/>
  <c r="F235" i="18"/>
  <c r="F226" i="18"/>
  <c r="F222" i="18"/>
  <c r="F214" i="18"/>
  <c r="F206" i="18"/>
  <c r="F193" i="18"/>
  <c r="F190" i="18"/>
  <c r="F178" i="18"/>
  <c r="F173" i="18"/>
  <c r="F166" i="18"/>
  <c r="F161" i="18"/>
  <c r="F154" i="18"/>
  <c r="F150" i="18"/>
  <c r="F141" i="18"/>
  <c r="F134" i="18"/>
  <c r="F126" i="18"/>
  <c r="F118" i="18"/>
  <c r="F110" i="18"/>
  <c r="F102" i="18"/>
  <c r="F94" i="18"/>
  <c r="F129" i="18"/>
  <c r="F113" i="18"/>
  <c r="F97" i="18"/>
  <c r="F137" i="18"/>
  <c r="F121" i="18"/>
  <c r="F185" i="18"/>
  <c r="F105" i="18"/>
  <c r="F92" i="18"/>
  <c r="F145" i="18"/>
  <c r="D139" i="18"/>
  <c r="F157" i="18"/>
  <c r="F234" i="18"/>
  <c r="F217" i="18"/>
  <c r="H31" i="20"/>
  <c r="N27" i="20"/>
  <c r="V195" i="15"/>
  <c r="V171" i="15"/>
  <c r="V163" i="15"/>
  <c r="V151" i="15"/>
  <c r="V139" i="15"/>
  <c r="V135" i="15"/>
  <c r="V216" i="15"/>
  <c r="V208" i="15"/>
  <c r="V198" i="15"/>
  <c r="V194" i="15"/>
  <c r="V166" i="15"/>
  <c r="V162" i="15"/>
  <c r="V154" i="15"/>
  <c r="V142" i="15"/>
  <c r="V211" i="15"/>
  <c r="V197" i="15"/>
  <c r="V193" i="15"/>
  <c r="V165" i="15"/>
  <c r="V153" i="15"/>
  <c r="V204" i="15"/>
  <c r="V200" i="15"/>
  <c r="V196" i="15"/>
  <c r="V192" i="15"/>
  <c r="V184" i="15"/>
  <c r="V168" i="15"/>
  <c r="V164" i="15"/>
  <c r="V156" i="15"/>
  <c r="V144" i="15"/>
  <c r="V212" i="15"/>
  <c r="V206" i="15"/>
  <c r="V202" i="15"/>
  <c r="V190" i="15"/>
  <c r="V186" i="15"/>
  <c r="V182" i="15"/>
  <c r="V178" i="15"/>
  <c r="V174" i="15"/>
  <c r="V170" i="15"/>
  <c r="V158" i="15"/>
  <c r="V150" i="15"/>
  <c r="V146" i="15"/>
  <c r="V205" i="15"/>
  <c r="V201" i="15"/>
  <c r="V189" i="15"/>
  <c r="V185" i="15"/>
  <c r="V181" i="15"/>
  <c r="V177" i="15"/>
  <c r="V173" i="15"/>
  <c r="V169" i="15"/>
  <c r="V161" i="15"/>
  <c r="V157" i="15"/>
  <c r="V210" i="15"/>
  <c r="V188" i="15"/>
  <c r="V180" i="15"/>
  <c r="V176" i="15"/>
  <c r="V172" i="15"/>
  <c r="V160" i="15"/>
  <c r="V152" i="15"/>
  <c r="V148" i="15"/>
  <c r="V140" i="15"/>
  <c r="V191" i="15"/>
  <c r="V183" i="15"/>
  <c r="V137" i="15"/>
  <c r="V136" i="15"/>
  <c r="V134" i="15"/>
  <c r="V133" i="15"/>
  <c r="V129" i="15"/>
  <c r="V121" i="15"/>
  <c r="V113" i="15"/>
  <c r="V105" i="15"/>
  <c r="V97" i="15"/>
  <c r="V89" i="15"/>
  <c r="V81" i="15"/>
  <c r="V199" i="15"/>
  <c r="V155" i="15"/>
  <c r="V132" i="15"/>
  <c r="V128" i="15"/>
  <c r="V120" i="15"/>
  <c r="V112" i="15"/>
  <c r="V104" i="15"/>
  <c r="V96" i="15"/>
  <c r="V88" i="15"/>
  <c r="V80" i="15"/>
  <c r="V149" i="15"/>
  <c r="V145" i="15"/>
  <c r="V143" i="15"/>
  <c r="V131" i="15"/>
  <c r="V127" i="15"/>
  <c r="V111" i="15"/>
  <c r="V103" i="15"/>
  <c r="V95" i="15"/>
  <c r="V87" i="15"/>
  <c r="V79" i="15"/>
  <c r="V209" i="15"/>
  <c r="V187" i="15"/>
  <c r="V167" i="15"/>
  <c r="V125" i="15"/>
  <c r="V109" i="15"/>
  <c r="V101" i="15"/>
  <c r="V93" i="15"/>
  <c r="V85" i="15"/>
  <c r="V203" i="15"/>
  <c r="V123" i="15"/>
  <c r="V119" i="15"/>
  <c r="V115" i="15"/>
  <c r="V107" i="15"/>
  <c r="V99" i="15"/>
  <c r="V91" i="15"/>
  <c r="V83" i="15"/>
  <c r="V147" i="15"/>
  <c r="V138" i="15"/>
  <c r="V130" i="15"/>
  <c r="V122" i="15"/>
  <c r="V114" i="15"/>
  <c r="V106" i="15"/>
  <c r="V98" i="15"/>
  <c r="V90" i="15"/>
  <c r="V82" i="15"/>
  <c r="V124" i="15"/>
  <c r="V110" i="15"/>
  <c r="V175" i="15"/>
  <c r="T117" i="15"/>
  <c r="V102" i="15"/>
  <c r="V159" i="15"/>
  <c r="V179" i="15"/>
  <c r="V141" i="15"/>
  <c r="V108" i="15"/>
  <c r="V94" i="15"/>
  <c r="V86" i="15"/>
  <c r="V126" i="15"/>
  <c r="V100" i="15"/>
  <c r="V92" i="15"/>
  <c r="V84" i="15"/>
  <c r="Z12" i="15"/>
  <c r="V78" i="15"/>
  <c r="H27" i="14"/>
  <c r="N18" i="14"/>
  <c r="R205" i="15"/>
  <c r="R201" i="15"/>
  <c r="R185" i="15"/>
  <c r="R172" i="15"/>
  <c r="R169" i="15"/>
  <c r="R157" i="15"/>
  <c r="R152" i="15"/>
  <c r="R145" i="15"/>
  <c r="R140" i="15"/>
  <c r="R136" i="15"/>
  <c r="R210" i="15"/>
  <c r="R195" i="15"/>
  <c r="R188" i="15"/>
  <c r="R180" i="15"/>
  <c r="R176" i="15"/>
  <c r="R163" i="15"/>
  <c r="R160" i="15"/>
  <c r="R148" i="15"/>
  <c r="R216" i="15"/>
  <c r="R198" i="15"/>
  <c r="R194" i="15"/>
  <c r="R171" i="15"/>
  <c r="R166" i="15"/>
  <c r="R154" i="15"/>
  <c r="R151" i="15"/>
  <c r="R208" i="15"/>
  <c r="R197" i="15"/>
  <c r="R193" i="15"/>
  <c r="R165" i="15"/>
  <c r="R162" i="15"/>
  <c r="R203" i="15"/>
  <c r="R196" i="15"/>
  <c r="R191" i="15"/>
  <c r="R187" i="15"/>
  <c r="R183" i="15"/>
  <c r="R179" i="15"/>
  <c r="R175" i="15"/>
  <c r="R164" i="15"/>
  <c r="R159" i="15"/>
  <c r="R147" i="15"/>
  <c r="R209" i="15"/>
  <c r="R206" i="15"/>
  <c r="R202" i="15"/>
  <c r="R199" i="15"/>
  <c r="R190" i="15"/>
  <c r="R186" i="15"/>
  <c r="R182" i="15"/>
  <c r="R178" i="15"/>
  <c r="R174" i="15"/>
  <c r="R170" i="15"/>
  <c r="R167" i="15"/>
  <c r="R158" i="15"/>
  <c r="R155" i="15"/>
  <c r="R212" i="15"/>
  <c r="R189" i="15"/>
  <c r="R181" i="15"/>
  <c r="R177" i="15"/>
  <c r="R173" i="15"/>
  <c r="R161" i="15"/>
  <c r="R149" i="15"/>
  <c r="R211" i="15"/>
  <c r="R204" i="15"/>
  <c r="R138" i="15"/>
  <c r="R135" i="15"/>
  <c r="R130" i="15"/>
  <c r="R122" i="15"/>
  <c r="R119" i="15"/>
  <c r="R114" i="15"/>
  <c r="R106" i="15"/>
  <c r="R98" i="15"/>
  <c r="R90" i="15"/>
  <c r="R82" i="15"/>
  <c r="R137" i="15"/>
  <c r="R134" i="15"/>
  <c r="R133" i="15"/>
  <c r="R129" i="15"/>
  <c r="R121" i="15"/>
  <c r="R113" i="15"/>
  <c r="R105" i="15"/>
  <c r="R97" i="15"/>
  <c r="R89" i="15"/>
  <c r="R81" i="15"/>
  <c r="R132" i="15"/>
  <c r="R128" i="15"/>
  <c r="R112" i="15"/>
  <c r="R104" i="15"/>
  <c r="R96" i="15"/>
  <c r="R88" i="15"/>
  <c r="R80" i="15"/>
  <c r="R156" i="15"/>
  <c r="R146" i="15"/>
  <c r="R143" i="15"/>
  <c r="R131" i="15"/>
  <c r="R126" i="15"/>
  <c r="R110" i="15"/>
  <c r="R102" i="15"/>
  <c r="R94" i="15"/>
  <c r="R86" i="15"/>
  <c r="R200" i="15"/>
  <c r="R168" i="15"/>
  <c r="R153" i="15"/>
  <c r="R124" i="15"/>
  <c r="R108" i="15"/>
  <c r="R100" i="15"/>
  <c r="R92" i="15"/>
  <c r="R84" i="15"/>
  <c r="X12" i="15"/>
  <c r="R123" i="15"/>
  <c r="R115" i="15"/>
  <c r="R107" i="15"/>
  <c r="R99" i="15"/>
  <c r="R91" i="15"/>
  <c r="R83" i="15"/>
  <c r="R139" i="15"/>
  <c r="R127" i="15"/>
  <c r="R93" i="15"/>
  <c r="R85" i="15"/>
  <c r="R79" i="15"/>
  <c r="R184" i="15"/>
  <c r="R144" i="15"/>
  <c r="R125" i="15"/>
  <c r="P117" i="15"/>
  <c r="R150" i="15"/>
  <c r="R192" i="15"/>
  <c r="R141" i="15"/>
  <c r="R109" i="15"/>
  <c r="R103" i="15"/>
  <c r="R142" i="15"/>
  <c r="R78" i="15"/>
  <c r="R101" i="15"/>
  <c r="R95" i="15"/>
  <c r="R87" i="15"/>
  <c r="R120" i="15"/>
  <c r="R111" i="15"/>
  <c r="T31" i="13"/>
  <c r="Z27" i="13"/>
  <c r="H27" i="4"/>
  <c r="N18" i="4"/>
  <c r="P22" i="6"/>
  <c r="X16" i="6"/>
  <c r="D256" i="3"/>
  <c r="D28" i="96"/>
  <c r="L24" i="96"/>
  <c r="T36" i="88"/>
  <c r="T36" i="82"/>
  <c r="T59" i="57"/>
  <c r="Z16" i="57"/>
  <c r="Z31" i="50"/>
  <c r="T36" i="50"/>
  <c r="Z36" i="50" s="1"/>
  <c r="H27" i="31"/>
  <c r="N18" i="31"/>
  <c r="X18" i="19"/>
  <c r="P27" i="19"/>
  <c r="P27" i="17"/>
  <c r="X18" i="17"/>
  <c r="H27" i="13"/>
  <c r="N18" i="13"/>
  <c r="T110" i="27"/>
  <c r="L18" i="8"/>
  <c r="D27" i="8"/>
  <c r="P31" i="16"/>
  <c r="X27" i="16"/>
  <c r="L59" i="97"/>
  <c r="N59" i="97" s="1"/>
  <c r="P31" i="98"/>
  <c r="H24" i="96"/>
  <c r="N16" i="96"/>
  <c r="J38" i="90"/>
  <c r="J30" i="90"/>
  <c r="J22" i="90"/>
  <c r="J20" i="90"/>
  <c r="J35" i="90"/>
  <c r="J27" i="90"/>
  <c r="J15" i="90"/>
  <c r="J50" i="90"/>
  <c r="J44" i="90"/>
  <c r="J40" i="90"/>
  <c r="J32" i="90"/>
  <c r="N12" i="90"/>
  <c r="J48" i="90"/>
  <c r="J42" i="90"/>
  <c r="J34" i="90"/>
  <c r="J26" i="90"/>
  <c r="J18" i="90"/>
  <c r="J39" i="90"/>
  <c r="J31" i="90"/>
  <c r="J25" i="90"/>
  <c r="H18" i="90"/>
  <c r="J41" i="90"/>
  <c r="J53" i="90"/>
  <c r="J29" i="90"/>
  <c r="J28" i="90"/>
  <c r="J16" i="90"/>
  <c r="J33" i="90"/>
  <c r="J23" i="90"/>
  <c r="L12" i="90"/>
  <c r="J36" i="90"/>
  <c r="J46" i="90"/>
  <c r="J37" i="90"/>
  <c r="J21" i="90"/>
  <c r="J24" i="90"/>
  <c r="P46" i="91"/>
  <c r="X16" i="91"/>
  <c r="N17" i="86"/>
  <c r="H66" i="86"/>
  <c r="R65" i="92"/>
  <c r="R61" i="92"/>
  <c r="R57" i="92"/>
  <c r="R54" i="92"/>
  <c r="R49" i="92"/>
  <c r="R46" i="92"/>
  <c r="R41" i="92"/>
  <c r="R37" i="92"/>
  <c r="R33" i="92"/>
  <c r="R25" i="92"/>
  <c r="R75" i="92"/>
  <c r="R64" i="92"/>
  <c r="R60" i="92"/>
  <c r="R36" i="92"/>
  <c r="R32" i="92"/>
  <c r="R17" i="92"/>
  <c r="R71" i="92"/>
  <c r="R56" i="92"/>
  <c r="R51" i="92"/>
  <c r="R48" i="92"/>
  <c r="R43" i="92"/>
  <c r="R40" i="92"/>
  <c r="R35" i="92"/>
  <c r="R31" i="92"/>
  <c r="R24" i="92"/>
  <c r="R70" i="92"/>
  <c r="R63" i="92"/>
  <c r="R59" i="92"/>
  <c r="R30" i="92"/>
  <c r="R73" i="92"/>
  <c r="R69" i="92"/>
  <c r="R53" i="92"/>
  <c r="R50" i="92"/>
  <c r="R45" i="92"/>
  <c r="R42" i="92"/>
  <c r="R34" i="92"/>
  <c r="R29" i="92"/>
  <c r="P21" i="92"/>
  <c r="R79" i="92"/>
  <c r="R68" i="92"/>
  <c r="R28" i="92"/>
  <c r="X12" i="92"/>
  <c r="Z12" i="92" s="1"/>
  <c r="R55" i="92"/>
  <c r="R27" i="92"/>
  <c r="R72" i="92"/>
  <c r="R52" i="92"/>
  <c r="R47" i="92"/>
  <c r="R44" i="92"/>
  <c r="R38" i="92"/>
  <c r="R66" i="92"/>
  <c r="R39" i="92"/>
  <c r="R62" i="92"/>
  <c r="R19" i="92"/>
  <c r="R67" i="92"/>
  <c r="R23" i="92"/>
  <c r="R26" i="92"/>
  <c r="R58" i="92"/>
  <c r="R18" i="92"/>
  <c r="T79" i="85"/>
  <c r="Z20" i="85"/>
  <c r="L29" i="88"/>
  <c r="D79" i="85"/>
  <c r="L20" i="85"/>
  <c r="P66" i="86"/>
  <c r="X17" i="86"/>
  <c r="P45" i="83"/>
  <c r="P79" i="79"/>
  <c r="X20" i="79"/>
  <c r="R20" i="79"/>
  <c r="D36" i="80"/>
  <c r="L32" i="80"/>
  <c r="L16" i="83"/>
  <c r="D38" i="83"/>
  <c r="D66" i="97"/>
  <c r="L62" i="97"/>
  <c r="N62" i="97" s="1"/>
  <c r="F70" i="76"/>
  <c r="X20" i="78"/>
  <c r="P28" i="78"/>
  <c r="R20" i="78"/>
  <c r="X12" i="75"/>
  <c r="Z12" i="75" s="1"/>
  <c r="P48" i="74"/>
  <c r="X44" i="74"/>
  <c r="L12" i="71"/>
  <c r="N12" i="71" s="1"/>
  <c r="Z16" i="59"/>
  <c r="T50" i="59"/>
  <c r="P63" i="57"/>
  <c r="X59" i="57"/>
  <c r="V43" i="67"/>
  <c r="V35" i="67"/>
  <c r="V27" i="67"/>
  <c r="V23" i="67"/>
  <c r="V19" i="67"/>
  <c r="V38" i="67"/>
  <c r="V26" i="67"/>
  <c r="V18" i="67"/>
  <c r="V37" i="67"/>
  <c r="V25" i="67"/>
  <c r="V52" i="67"/>
  <c r="V46" i="67"/>
  <c r="V40" i="67"/>
  <c r="V32" i="67"/>
  <c r="V24" i="67"/>
  <c r="V39" i="67"/>
  <c r="V31" i="67"/>
  <c r="V21" i="67"/>
  <c r="V42" i="67"/>
  <c r="V34" i="67"/>
  <c r="V30" i="67"/>
  <c r="T21" i="67"/>
  <c r="V50" i="67"/>
  <c r="V41" i="67"/>
  <c r="V55" i="67"/>
  <c r="V28" i="67"/>
  <c r="V36" i="67"/>
  <c r="V33" i="67"/>
  <c r="V48" i="67"/>
  <c r="V44" i="67"/>
  <c r="V29" i="67"/>
  <c r="Z12" i="67"/>
  <c r="T22" i="54"/>
  <c r="Z16" i="54"/>
  <c r="P22" i="54"/>
  <c r="X16" i="54"/>
  <c r="H59" i="57"/>
  <c r="N16" i="57"/>
  <c r="P64" i="58"/>
  <c r="X16" i="58"/>
  <c r="R105" i="66"/>
  <c r="R98" i="66"/>
  <c r="R74" i="66"/>
  <c r="R62" i="66"/>
  <c r="R46" i="66"/>
  <c r="R108" i="66"/>
  <c r="R101" i="66"/>
  <c r="R97" i="66"/>
  <c r="R94" i="66"/>
  <c r="R90" i="66"/>
  <c r="R85" i="66"/>
  <c r="R82" i="66"/>
  <c r="R77" i="66"/>
  <c r="R73" i="66"/>
  <c r="R61" i="66"/>
  <c r="R100" i="66"/>
  <c r="R72" i="66"/>
  <c r="R60" i="66"/>
  <c r="R57" i="66"/>
  <c r="R52" i="66"/>
  <c r="R44" i="66"/>
  <c r="R106" i="66"/>
  <c r="R103" i="66"/>
  <c r="R96" i="66"/>
  <c r="R87" i="66"/>
  <c r="R84" i="66"/>
  <c r="R79" i="66"/>
  <c r="R76" i="66"/>
  <c r="R71" i="66"/>
  <c r="R67" i="66"/>
  <c r="R59" i="66"/>
  <c r="R51" i="66"/>
  <c r="R43" i="66"/>
  <c r="R112" i="66"/>
  <c r="R99" i="66"/>
  <c r="R70" i="66"/>
  <c r="R66" i="66"/>
  <c r="R50" i="66"/>
  <c r="R42" i="66"/>
  <c r="R102" i="66"/>
  <c r="R93" i="66"/>
  <c r="R89" i="66"/>
  <c r="R86" i="66"/>
  <c r="R81" i="66"/>
  <c r="R78" i="66"/>
  <c r="R69" i="66"/>
  <c r="R65" i="66"/>
  <c r="R58" i="66"/>
  <c r="R49" i="66"/>
  <c r="R48" i="66"/>
  <c r="R75" i="66"/>
  <c r="R63" i="66"/>
  <c r="R45" i="66"/>
  <c r="R95" i="66"/>
  <c r="R91" i="66"/>
  <c r="R92" i="66"/>
  <c r="R83" i="66"/>
  <c r="R64" i="66"/>
  <c r="R53" i="66"/>
  <c r="X12" i="66"/>
  <c r="Z12" i="66" s="1"/>
  <c r="R88" i="66"/>
  <c r="R80" i="66"/>
  <c r="R107" i="66"/>
  <c r="R55" i="66"/>
  <c r="R40" i="66"/>
  <c r="R47" i="66"/>
  <c r="R41" i="66"/>
  <c r="P55" i="66"/>
  <c r="R68" i="66"/>
  <c r="R39" i="66"/>
  <c r="R38" i="66"/>
  <c r="L16" i="60"/>
  <c r="X18" i="46"/>
  <c r="P27" i="46"/>
  <c r="X16" i="59"/>
  <c r="D27" i="41"/>
  <c r="L18" i="41"/>
  <c r="X17" i="48"/>
  <c r="Z17" i="48" s="1"/>
  <c r="X104" i="36"/>
  <c r="Z104" i="36" s="1"/>
  <c r="J94" i="39"/>
  <c r="J84" i="39"/>
  <c r="J70" i="39"/>
  <c r="J50" i="39"/>
  <c r="J46" i="39"/>
  <c r="J42" i="39"/>
  <c r="J99" i="39"/>
  <c r="J93" i="39"/>
  <c r="J79" i="39"/>
  <c r="J67" i="39"/>
  <c r="J61" i="39"/>
  <c r="J55" i="39"/>
  <c r="J45" i="39"/>
  <c r="J41" i="39"/>
  <c r="J27" i="39"/>
  <c r="J104" i="39"/>
  <c r="J96" i="39"/>
  <c r="J92" i="39"/>
  <c r="J86" i="39"/>
  <c r="J91" i="39"/>
  <c r="J83" i="39"/>
  <c r="J75" i="39"/>
  <c r="J69" i="39"/>
  <c r="J63" i="39"/>
  <c r="J49" i="39"/>
  <c r="J39" i="39"/>
  <c r="J102" i="39"/>
  <c r="J98" i="39"/>
  <c r="J90" i="39"/>
  <c r="J82" i="39"/>
  <c r="J78" i="39"/>
  <c r="J74" i="39"/>
  <c r="J66" i="39"/>
  <c r="J60" i="39"/>
  <c r="J54" i="39"/>
  <c r="J38" i="39"/>
  <c r="H31" i="39"/>
  <c r="J105" i="39"/>
  <c r="J95" i="39"/>
  <c r="J89" i="39"/>
  <c r="J100" i="39"/>
  <c r="J88" i="39"/>
  <c r="J80" i="39"/>
  <c r="J68" i="39"/>
  <c r="J62" i="39"/>
  <c r="J56" i="39"/>
  <c r="J48" i="39"/>
  <c r="J36" i="39"/>
  <c r="J28" i="39"/>
  <c r="J109" i="39"/>
  <c r="J85" i="39"/>
  <c r="J51" i="39"/>
  <c r="J103" i="39"/>
  <c r="J43" i="39"/>
  <c r="J58" i="39"/>
  <c r="J52" i="39"/>
  <c r="J97" i="39"/>
  <c r="J71" i="39"/>
  <c r="J57" i="39"/>
  <c r="J53" i="39"/>
  <c r="J47" i="39"/>
  <c r="J44" i="39"/>
  <c r="J34" i="39"/>
  <c r="J33" i="39"/>
  <c r="J81" i="39"/>
  <c r="J35" i="39"/>
  <c r="J29" i="39"/>
  <c r="J37" i="39"/>
  <c r="J72" i="39"/>
  <c r="J59" i="39"/>
  <c r="J73" i="39"/>
  <c r="J40" i="39"/>
  <c r="J76" i="39"/>
  <c r="J64" i="39"/>
  <c r="J87" i="39"/>
  <c r="J77" i="39"/>
  <c r="J65" i="39"/>
  <c r="T27" i="31"/>
  <c r="Z18" i="31"/>
  <c r="R102" i="39"/>
  <c r="R91" i="39"/>
  <c r="R83" i="39"/>
  <c r="R75" i="39"/>
  <c r="R63" i="39"/>
  <c r="R60" i="39"/>
  <c r="R39" i="39"/>
  <c r="P31" i="39"/>
  <c r="R105" i="39"/>
  <c r="R98" i="39"/>
  <c r="R95" i="39"/>
  <c r="R90" i="39"/>
  <c r="R82" i="39"/>
  <c r="R78" i="39"/>
  <c r="R74" i="39"/>
  <c r="R71" i="39"/>
  <c r="R66" i="39"/>
  <c r="R54" i="39"/>
  <c r="R51" i="39"/>
  <c r="R43" i="39"/>
  <c r="R38" i="39"/>
  <c r="R89" i="39"/>
  <c r="R85" i="39"/>
  <c r="R81" i="39"/>
  <c r="R103" i="39"/>
  <c r="R100" i="39"/>
  <c r="R97" i="39"/>
  <c r="R88" i="39"/>
  <c r="R80" i="39"/>
  <c r="R77" i="39"/>
  <c r="R73" i="39"/>
  <c r="R68" i="39"/>
  <c r="R65" i="39"/>
  <c r="R56" i="39"/>
  <c r="R53" i="39"/>
  <c r="R48" i="39"/>
  <c r="R36" i="39"/>
  <c r="R33" i="39"/>
  <c r="R28" i="39"/>
  <c r="X12" i="39"/>
  <c r="Z12" i="39" s="1"/>
  <c r="R109" i="39"/>
  <c r="R87" i="39"/>
  <c r="R84" i="39"/>
  <c r="R59" i="39"/>
  <c r="R47" i="39"/>
  <c r="R35" i="39"/>
  <c r="R99" i="39"/>
  <c r="R94" i="39"/>
  <c r="R104" i="39"/>
  <c r="R93" i="39"/>
  <c r="R86" i="39"/>
  <c r="R61" i="39"/>
  <c r="R58" i="39"/>
  <c r="R45" i="39"/>
  <c r="R41" i="39"/>
  <c r="R34" i="39"/>
  <c r="R96" i="39"/>
  <c r="R57" i="39"/>
  <c r="R52" i="39"/>
  <c r="R42" i="39"/>
  <c r="R64" i="39"/>
  <c r="R44" i="39"/>
  <c r="R76" i="39"/>
  <c r="R72" i="39"/>
  <c r="R70" i="39"/>
  <c r="R40" i="39"/>
  <c r="R37" i="39"/>
  <c r="R79" i="39"/>
  <c r="R69" i="39"/>
  <c r="R50" i="39"/>
  <c r="R46" i="39"/>
  <c r="R31" i="39"/>
  <c r="R27" i="39"/>
  <c r="R92" i="39"/>
  <c r="R49" i="39"/>
  <c r="R67" i="39"/>
  <c r="R55" i="39"/>
  <c r="R29" i="39"/>
  <c r="R62" i="39"/>
  <c r="N18" i="35"/>
  <c r="H27" i="35"/>
  <c r="D109" i="36"/>
  <c r="L24" i="36"/>
  <c r="N24" i="36" s="1"/>
  <c r="T79" i="33"/>
  <c r="F142" i="30"/>
  <c r="F139" i="30"/>
  <c r="F135" i="30"/>
  <c r="F115" i="30"/>
  <c r="F103" i="30"/>
  <c r="F98" i="30"/>
  <c r="F87" i="30"/>
  <c r="F71" i="30"/>
  <c r="F63" i="30"/>
  <c r="F55" i="30"/>
  <c r="F147" i="30"/>
  <c r="F134" i="30"/>
  <c r="F125" i="30"/>
  <c r="F121" i="30"/>
  <c r="F118" i="30"/>
  <c r="F109" i="30"/>
  <c r="F106" i="30"/>
  <c r="F86" i="30"/>
  <c r="D80" i="30"/>
  <c r="F78" i="30"/>
  <c r="F70" i="30"/>
  <c r="F62" i="30"/>
  <c r="F151" i="30"/>
  <c r="F141" i="30"/>
  <c r="F128" i="30"/>
  <c r="F112" i="30"/>
  <c r="F105" i="30"/>
  <c r="F100" i="30"/>
  <c r="F97" i="30"/>
  <c r="F92" i="30"/>
  <c r="F85" i="30"/>
  <c r="F77" i="30"/>
  <c r="F69" i="30"/>
  <c r="F61" i="30"/>
  <c r="F145" i="30"/>
  <c r="F131" i="30"/>
  <c r="F124" i="30"/>
  <c r="F120" i="30"/>
  <c r="F108" i="30"/>
  <c r="F96" i="30"/>
  <c r="F84" i="30"/>
  <c r="F76" i="30"/>
  <c r="F68" i="30"/>
  <c r="F60" i="30"/>
  <c r="L12" i="30"/>
  <c r="N12" i="30" s="1"/>
  <c r="F146" i="30"/>
  <c r="F140" i="30"/>
  <c r="F137" i="30"/>
  <c r="F129" i="30"/>
  <c r="F113" i="30"/>
  <c r="F104" i="30"/>
  <c r="F101" i="30"/>
  <c r="F93" i="30"/>
  <c r="F89" i="30"/>
  <c r="F73" i="30"/>
  <c r="F65" i="30"/>
  <c r="F57" i="30"/>
  <c r="F136" i="30"/>
  <c r="F132" i="30"/>
  <c r="F119" i="30"/>
  <c r="F116" i="30"/>
  <c r="F107" i="30"/>
  <c r="F88" i="30"/>
  <c r="F83" i="30"/>
  <c r="F72" i="30"/>
  <c r="F64" i="30"/>
  <c r="F56" i="30"/>
  <c r="F110" i="30"/>
  <c r="F94" i="30"/>
  <c r="F91" i="30"/>
  <c r="F66" i="30"/>
  <c r="F138" i="30"/>
  <c r="F114" i="30"/>
  <c r="F82" i="30"/>
  <c r="F75" i="30"/>
  <c r="F143" i="30"/>
  <c r="F111" i="30"/>
  <c r="F58" i="30"/>
  <c r="F95" i="30"/>
  <c r="F67" i="30"/>
  <c r="F102" i="30"/>
  <c r="F126" i="30"/>
  <c r="F122" i="30"/>
  <c r="F99" i="30"/>
  <c r="F90" i="30"/>
  <c r="F59" i="30"/>
  <c r="F133" i="30"/>
  <c r="F123" i="30"/>
  <c r="F74" i="30"/>
  <c r="F130" i="30"/>
  <c r="F127" i="30"/>
  <c r="F117" i="30"/>
  <c r="F54" i="30"/>
  <c r="P27" i="28"/>
  <c r="X18" i="28"/>
  <c r="L18" i="26"/>
  <c r="D27" i="26"/>
  <c r="D31" i="22"/>
  <c r="T27" i="29"/>
  <c r="Z18" i="29"/>
  <c r="T27" i="23"/>
  <c r="Z18" i="23"/>
  <c r="F73" i="33"/>
  <c r="F65" i="33"/>
  <c r="F56" i="33"/>
  <c r="F33" i="33"/>
  <c r="F52" i="33"/>
  <c r="F47" i="33"/>
  <c r="F44" i="33"/>
  <c r="F40" i="33"/>
  <c r="F31" i="33"/>
  <c r="F76" i="33"/>
  <c r="F70" i="33"/>
  <c r="F62" i="33"/>
  <c r="F58" i="33"/>
  <c r="F55" i="33"/>
  <c r="F43" i="33"/>
  <c r="F39" i="33"/>
  <c r="F54" i="33"/>
  <c r="F49" i="33"/>
  <c r="F46" i="33"/>
  <c r="F42" i="33"/>
  <c r="F38" i="33"/>
  <c r="F25" i="33"/>
  <c r="F81" i="33"/>
  <c r="F71" i="33"/>
  <c r="F67" i="33"/>
  <c r="F63" i="33"/>
  <c r="F59" i="33"/>
  <c r="F35" i="33"/>
  <c r="D29" i="33"/>
  <c r="F27" i="33"/>
  <c r="F75" i="33"/>
  <c r="F66" i="33"/>
  <c r="F53" i="33"/>
  <c r="F50" i="33"/>
  <c r="F45" i="33"/>
  <c r="F41" i="33"/>
  <c r="F34" i="33"/>
  <c r="F26" i="33"/>
  <c r="F61" i="33"/>
  <c r="L12" i="33"/>
  <c r="F51" i="33"/>
  <c r="F36" i="33"/>
  <c r="F68" i="33"/>
  <c r="F48" i="33"/>
  <c r="F37" i="33"/>
  <c r="F72" i="33"/>
  <c r="F69" i="33"/>
  <c r="F60" i="33"/>
  <c r="F57" i="33"/>
  <c r="F77" i="33"/>
  <c r="F32" i="33"/>
  <c r="F64" i="33"/>
  <c r="R107" i="27"/>
  <c r="R92" i="27"/>
  <c r="R64" i="27"/>
  <c r="R55" i="27"/>
  <c r="R48" i="27"/>
  <c r="R40" i="27"/>
  <c r="R95" i="27"/>
  <c r="R91" i="27"/>
  <c r="R88" i="27"/>
  <c r="R83" i="27"/>
  <c r="R80" i="27"/>
  <c r="R75" i="27"/>
  <c r="R68" i="27"/>
  <c r="R63" i="27"/>
  <c r="P55" i="27"/>
  <c r="R47" i="27"/>
  <c r="R39" i="27"/>
  <c r="R105" i="27"/>
  <c r="R98" i="27"/>
  <c r="R74" i="27"/>
  <c r="R62" i="27"/>
  <c r="R46" i="27"/>
  <c r="R108" i="27"/>
  <c r="R101" i="27"/>
  <c r="R97" i="27"/>
  <c r="R94" i="27"/>
  <c r="R90" i="27"/>
  <c r="R85" i="27"/>
  <c r="R82" i="27"/>
  <c r="R77" i="27"/>
  <c r="R73" i="27"/>
  <c r="R61" i="27"/>
  <c r="R53" i="27"/>
  <c r="R45" i="27"/>
  <c r="R38" i="27"/>
  <c r="R100" i="27"/>
  <c r="R72" i="27"/>
  <c r="R60" i="27"/>
  <c r="R57" i="27"/>
  <c r="R52" i="27"/>
  <c r="R44" i="27"/>
  <c r="X12" i="27"/>
  <c r="Z12" i="27" s="1"/>
  <c r="R106" i="27"/>
  <c r="R103" i="27"/>
  <c r="R96" i="27"/>
  <c r="R87" i="27"/>
  <c r="R84" i="27"/>
  <c r="R79" i="27"/>
  <c r="R76" i="27"/>
  <c r="R71" i="27"/>
  <c r="R67" i="27"/>
  <c r="R59" i="27"/>
  <c r="R51" i="27"/>
  <c r="R43" i="27"/>
  <c r="R112" i="27"/>
  <c r="R99" i="27"/>
  <c r="R70" i="27"/>
  <c r="R66" i="27"/>
  <c r="R50" i="27"/>
  <c r="R42" i="27"/>
  <c r="R86" i="27"/>
  <c r="R93" i="27"/>
  <c r="R69" i="27"/>
  <c r="R78" i="27"/>
  <c r="R49" i="27"/>
  <c r="R102" i="27"/>
  <c r="R89" i="27"/>
  <c r="R81" i="27"/>
  <c r="R65" i="27"/>
  <c r="R58" i="27"/>
  <c r="R41" i="27"/>
  <c r="L18" i="20"/>
  <c r="D27" i="20"/>
  <c r="N208" i="15"/>
  <c r="N216" i="12"/>
  <c r="P31" i="13"/>
  <c r="X27" i="13"/>
  <c r="V218" i="12"/>
  <c r="V196" i="12"/>
  <c r="V188" i="12"/>
  <c r="V184" i="12"/>
  <c r="V180" i="12"/>
  <c r="V176" i="12"/>
  <c r="V168" i="12"/>
  <c r="V156" i="12"/>
  <c r="V144" i="12"/>
  <c r="V140" i="12"/>
  <c r="V128" i="12"/>
  <c r="V124" i="12"/>
  <c r="V120" i="12"/>
  <c r="V112" i="12"/>
  <c r="V104" i="12"/>
  <c r="V96" i="12"/>
  <c r="V88" i="12"/>
  <c r="V203" i="12"/>
  <c r="V187" i="12"/>
  <c r="V183" i="12"/>
  <c r="V179" i="12"/>
  <c r="V167" i="12"/>
  <c r="V159" i="12"/>
  <c r="V147" i="12"/>
  <c r="V139" i="12"/>
  <c r="V135" i="12"/>
  <c r="V127" i="12"/>
  <c r="V119" i="12"/>
  <c r="V111" i="12"/>
  <c r="V103" i="12"/>
  <c r="V95" i="12"/>
  <c r="V87" i="12"/>
  <c r="V224" i="12"/>
  <c r="V216" i="12"/>
  <c r="V206" i="12"/>
  <c r="V202" i="12"/>
  <c r="V178" i="12"/>
  <c r="V170" i="12"/>
  <c r="V158" i="12"/>
  <c r="V146" i="12"/>
  <c r="V138" i="12"/>
  <c r="V134" i="12"/>
  <c r="V126" i="12"/>
  <c r="V118" i="12"/>
  <c r="V110" i="12"/>
  <c r="V102" i="12"/>
  <c r="V94" i="12"/>
  <c r="V86" i="12"/>
  <c r="V212" i="12"/>
  <c r="V208" i="12"/>
  <c r="V204" i="12"/>
  <c r="V200" i="12"/>
  <c r="V192" i="12"/>
  <c r="V172" i="12"/>
  <c r="V164" i="12"/>
  <c r="V160" i="12"/>
  <c r="V152" i="12"/>
  <c r="V148" i="12"/>
  <c r="V136" i="12"/>
  <c r="V132" i="12"/>
  <c r="V122" i="12"/>
  <c r="V116" i="12"/>
  <c r="V108" i="12"/>
  <c r="V100" i="12"/>
  <c r="V92" i="12"/>
  <c r="V84" i="12"/>
  <c r="V220" i="12"/>
  <c r="V214" i="12"/>
  <c r="V210" i="12"/>
  <c r="V198" i="12"/>
  <c r="V194" i="12"/>
  <c r="V190" i="12"/>
  <c r="V186" i="12"/>
  <c r="V182" i="12"/>
  <c r="V174" i="12"/>
  <c r="V166" i="12"/>
  <c r="V162" i="12"/>
  <c r="V154" i="12"/>
  <c r="V150" i="12"/>
  <c r="V142" i="12"/>
  <c r="V130" i="12"/>
  <c r="V114" i="12"/>
  <c r="V106" i="12"/>
  <c r="V98" i="12"/>
  <c r="V90" i="12"/>
  <c r="V82" i="12"/>
  <c r="V213" i="12"/>
  <c r="V209" i="12"/>
  <c r="V197" i="12"/>
  <c r="V193" i="12"/>
  <c r="V189" i="12"/>
  <c r="V185" i="12"/>
  <c r="V181" i="12"/>
  <c r="V177" i="12"/>
  <c r="V165" i="12"/>
  <c r="V157" i="12"/>
  <c r="V153" i="12"/>
  <c r="V145" i="12"/>
  <c r="V141" i="12"/>
  <c r="V129" i="12"/>
  <c r="V113" i="12"/>
  <c r="V105" i="12"/>
  <c r="V97" i="12"/>
  <c r="V89" i="12"/>
  <c r="V81" i="12"/>
  <c r="T122" i="12"/>
  <c r="V201" i="12"/>
  <c r="V173" i="12"/>
  <c r="V163" i="12"/>
  <c r="V143" i="12"/>
  <c r="V93" i="12"/>
  <c r="V195" i="12"/>
  <c r="V155" i="12"/>
  <c r="V125" i="12"/>
  <c r="V115" i="12"/>
  <c r="V99" i="12"/>
  <c r="V205" i="12"/>
  <c r="V191" i="12"/>
  <c r="V171" i="12"/>
  <c r="V151" i="12"/>
  <c r="V133" i="12"/>
  <c r="V109" i="12"/>
  <c r="V85" i="12"/>
  <c r="V161" i="12"/>
  <c r="V217" i="12"/>
  <c r="V211" i="12"/>
  <c r="V207" i="12"/>
  <c r="V137" i="12"/>
  <c r="V131" i="12"/>
  <c r="V107" i="12"/>
  <c r="V83" i="12"/>
  <c r="V219" i="12"/>
  <c r="V169" i="12"/>
  <c r="V149" i="12"/>
  <c r="V117" i="12"/>
  <c r="V101" i="12"/>
  <c r="V91" i="12"/>
  <c r="V175" i="12"/>
  <c r="V199" i="12"/>
  <c r="D27" i="10"/>
  <c r="L18" i="10"/>
  <c r="N246" i="3"/>
  <c r="J248" i="3"/>
  <c r="J236" i="3"/>
  <c r="J232" i="3"/>
  <c r="J216" i="3"/>
  <c r="J212" i="3"/>
  <c r="J208" i="3"/>
  <c r="J202" i="3"/>
  <c r="J196" i="3"/>
  <c r="J182" i="3"/>
  <c r="J170" i="3"/>
  <c r="J164" i="3"/>
  <c r="J160" i="3"/>
  <c r="J152" i="3"/>
  <c r="J150" i="3"/>
  <c r="J144" i="3"/>
  <c r="J136" i="3"/>
  <c r="J128" i="3"/>
  <c r="J120" i="3"/>
  <c r="J112" i="3"/>
  <c r="J104" i="3"/>
  <c r="J251" i="3"/>
  <c r="J235" i="3"/>
  <c r="J231" i="3"/>
  <c r="J221" i="3"/>
  <c r="J207" i="3"/>
  <c r="J199" i="3"/>
  <c r="J193" i="3"/>
  <c r="J187" i="3"/>
  <c r="J175" i="3"/>
  <c r="J163" i="3"/>
  <c r="J159" i="3"/>
  <c r="J143" i="3"/>
  <c r="J135" i="3"/>
  <c r="J127" i="3"/>
  <c r="J119" i="3"/>
  <c r="J111" i="3"/>
  <c r="J103" i="3"/>
  <c r="J263" i="3"/>
  <c r="J254" i="3"/>
  <c r="J246" i="3"/>
  <c r="J242" i="3"/>
  <c r="J238" i="3"/>
  <c r="J230" i="3"/>
  <c r="J224" i="3"/>
  <c r="J204" i="3"/>
  <c r="J198" i="3"/>
  <c r="J190" i="3"/>
  <c r="J184" i="3"/>
  <c r="J178" i="3"/>
  <c r="J172" i="3"/>
  <c r="J158" i="3"/>
  <c r="J142" i="3"/>
  <c r="J134" i="3"/>
  <c r="J126" i="3"/>
  <c r="J118" i="3"/>
  <c r="J110" i="3"/>
  <c r="J102" i="3"/>
  <c r="J249" i="3"/>
  <c r="J241" i="3"/>
  <c r="J229" i="3"/>
  <c r="J215" i="3"/>
  <c r="J211" i="3"/>
  <c r="J201" i="3"/>
  <c r="J195" i="3"/>
  <c r="J189" i="3"/>
  <c r="J181" i="3"/>
  <c r="J177" i="3"/>
  <c r="J169" i="3"/>
  <c r="J157" i="3"/>
  <c r="J151" i="3"/>
  <c r="J141" i="3"/>
  <c r="J133" i="3"/>
  <c r="J125" i="3"/>
  <c r="J117" i="3"/>
  <c r="J109" i="3"/>
  <c r="J247" i="3"/>
  <c r="J237" i="3"/>
  <c r="J227" i="3"/>
  <c r="J223" i="3"/>
  <c r="J219" i="3"/>
  <c r="J203" i="3"/>
  <c r="J197" i="3"/>
  <c r="J183" i="3"/>
  <c r="J171" i="3"/>
  <c r="J167" i="3"/>
  <c r="J155" i="3"/>
  <c r="H148" i="3"/>
  <c r="J139" i="3"/>
  <c r="J131" i="3"/>
  <c r="J123" i="3"/>
  <c r="J115" i="3"/>
  <c r="J107" i="3"/>
  <c r="J262" i="3"/>
  <c r="J250" i="3"/>
  <c r="J226" i="3"/>
  <c r="J222" i="3"/>
  <c r="J218" i="3"/>
  <c r="J214" i="3"/>
  <c r="J210" i="3"/>
  <c r="J200" i="3"/>
  <c r="J194" i="3"/>
  <c r="J188" i="3"/>
  <c r="J176" i="3"/>
  <c r="J166" i="3"/>
  <c r="J154" i="3"/>
  <c r="J146" i="3"/>
  <c r="J138" i="3"/>
  <c r="J130" i="3"/>
  <c r="J122" i="3"/>
  <c r="J114" i="3"/>
  <c r="J106" i="3"/>
  <c r="J253" i="3"/>
  <c r="J243" i="3"/>
  <c r="J239" i="3"/>
  <c r="J233" i="3"/>
  <c r="J225" i="3"/>
  <c r="J217" i="3"/>
  <c r="J213" i="3"/>
  <c r="J209" i="3"/>
  <c r="J205" i="3"/>
  <c r="J191" i="3"/>
  <c r="J185" i="3"/>
  <c r="J179" i="3"/>
  <c r="J173" i="3"/>
  <c r="J165" i="3"/>
  <c r="J161" i="3"/>
  <c r="J153" i="3"/>
  <c r="J145" i="3"/>
  <c r="J137" i="3"/>
  <c r="J129" i="3"/>
  <c r="J121" i="3"/>
  <c r="J113" i="3"/>
  <c r="J105" i="3"/>
  <c r="J99" i="3"/>
  <c r="J228" i="3"/>
  <c r="J220" i="3"/>
  <c r="J116" i="3"/>
  <c r="J180" i="3"/>
  <c r="J140" i="3"/>
  <c r="J258" i="3"/>
  <c r="J186" i="3"/>
  <c r="J174" i="3"/>
  <c r="J192" i="3"/>
  <c r="J240" i="3"/>
  <c r="J234" i="3"/>
  <c r="J168" i="3"/>
  <c r="J108" i="3"/>
  <c r="J100" i="3"/>
  <c r="J156" i="3"/>
  <c r="J101" i="3"/>
  <c r="J124" i="3"/>
  <c r="N12" i="3"/>
  <c r="J162" i="3"/>
  <c r="J252" i="3"/>
  <c r="J244" i="3"/>
  <c r="J206" i="3"/>
  <c r="J132" i="3"/>
  <c r="P256" i="3"/>
  <c r="X148" i="3"/>
  <c r="H77" i="92"/>
  <c r="N21" i="92"/>
  <c r="F68" i="73"/>
  <c r="F62" i="73"/>
  <c r="F53" i="73"/>
  <c r="F49" i="73"/>
  <c r="F25" i="73"/>
  <c r="D19" i="73"/>
  <c r="F17" i="73"/>
  <c r="F66" i="73"/>
  <c r="F60" i="73"/>
  <c r="F52" i="73"/>
  <c r="F43" i="73"/>
  <c r="F40" i="73"/>
  <c r="F35" i="73"/>
  <c r="F31" i="73"/>
  <c r="F24" i="73"/>
  <c r="F46" i="73"/>
  <c r="F23" i="73"/>
  <c r="F57" i="73"/>
  <c r="F42" i="73"/>
  <c r="F37" i="73"/>
  <c r="F34" i="73"/>
  <c r="F30" i="73"/>
  <c r="F21" i="73"/>
  <c r="F64" i="73"/>
  <c r="F48" i="73"/>
  <c r="F45" i="73"/>
  <c r="F33" i="73"/>
  <c r="F29" i="73"/>
  <c r="F16" i="73"/>
  <c r="F55" i="73"/>
  <c r="F47" i="73"/>
  <c r="F27" i="73"/>
  <c r="F22" i="73"/>
  <c r="F59" i="73"/>
  <c r="F39" i="73"/>
  <c r="L12" i="73"/>
  <c r="F50" i="73"/>
  <c r="F56" i="73"/>
  <c r="F51" i="73"/>
  <c r="F44" i="73"/>
  <c r="F41" i="73"/>
  <c r="F36" i="73"/>
  <c r="F71" i="73"/>
  <c r="F32" i="73"/>
  <c r="F28" i="73"/>
  <c r="F58" i="73"/>
  <c r="F54" i="73"/>
  <c r="F38" i="73"/>
  <c r="F26" i="73"/>
  <c r="F19" i="73"/>
  <c r="J103" i="27"/>
  <c r="J87" i="27"/>
  <c r="J79" i="27"/>
  <c r="J71" i="27"/>
  <c r="J67" i="27"/>
  <c r="J59" i="27"/>
  <c r="J57" i="27"/>
  <c r="J51" i="27"/>
  <c r="J43" i="27"/>
  <c r="J112" i="27"/>
  <c r="J106" i="27"/>
  <c r="J96" i="27"/>
  <c r="J84" i="27"/>
  <c r="J76" i="27"/>
  <c r="J70" i="27"/>
  <c r="J66" i="27"/>
  <c r="J50" i="27"/>
  <c r="J42" i="27"/>
  <c r="J99" i="27"/>
  <c r="J93" i="27"/>
  <c r="J89" i="27"/>
  <c r="J81" i="27"/>
  <c r="J69" i="27"/>
  <c r="J65" i="27"/>
  <c r="J49" i="27"/>
  <c r="J41" i="27"/>
  <c r="J102" i="27"/>
  <c r="J92" i="27"/>
  <c r="J86" i="27"/>
  <c r="J78" i="27"/>
  <c r="J64" i="27"/>
  <c r="J58" i="27"/>
  <c r="J48" i="27"/>
  <c r="J40" i="27"/>
  <c r="J107" i="27"/>
  <c r="J95" i="27"/>
  <c r="J91" i="27"/>
  <c r="J83" i="27"/>
  <c r="J75" i="27"/>
  <c r="J63" i="27"/>
  <c r="J55" i="27"/>
  <c r="J47" i="27"/>
  <c r="J39" i="27"/>
  <c r="J98" i="27"/>
  <c r="J88" i="27"/>
  <c r="J80" i="27"/>
  <c r="J74" i="27"/>
  <c r="J68" i="27"/>
  <c r="J62" i="27"/>
  <c r="H55" i="27"/>
  <c r="J46" i="27"/>
  <c r="J105" i="27"/>
  <c r="J101" i="27"/>
  <c r="J97" i="27"/>
  <c r="J85" i="27"/>
  <c r="J77" i="27"/>
  <c r="J73" i="27"/>
  <c r="J61" i="27"/>
  <c r="J53" i="27"/>
  <c r="J45" i="27"/>
  <c r="J82" i="27"/>
  <c r="J90" i="27"/>
  <c r="N12" i="27"/>
  <c r="J44" i="27"/>
  <c r="J108" i="27"/>
  <c r="J100" i="27"/>
  <c r="J72" i="27"/>
  <c r="J52" i="27"/>
  <c r="J60" i="27"/>
  <c r="J38" i="27"/>
  <c r="J94" i="27"/>
  <c r="L18" i="99"/>
  <c r="D27" i="99"/>
  <c r="X18" i="98"/>
  <c r="V17" i="97"/>
  <c r="V71" i="94"/>
  <c r="V80" i="94"/>
  <c r="V74" i="94"/>
  <c r="V68" i="94"/>
  <c r="V52" i="94"/>
  <c r="V44" i="94"/>
  <c r="V28" i="94"/>
  <c r="Z12" i="94"/>
  <c r="V73" i="94"/>
  <c r="V67" i="94"/>
  <c r="V55" i="94"/>
  <c r="V47" i="94"/>
  <c r="V39" i="94"/>
  <c r="V27" i="94"/>
  <c r="V23" i="94"/>
  <c r="V19" i="94"/>
  <c r="V66" i="94"/>
  <c r="V62" i="94"/>
  <c r="V58" i="94"/>
  <c r="V54" i="94"/>
  <c r="V46" i="94"/>
  <c r="V38" i="94"/>
  <c r="V26" i="94"/>
  <c r="V18" i="94"/>
  <c r="V76" i="94"/>
  <c r="V65" i="94"/>
  <c r="V61" i="94"/>
  <c r="V57" i="94"/>
  <c r="V49" i="94"/>
  <c r="V41" i="94"/>
  <c r="V37" i="94"/>
  <c r="V33" i="94"/>
  <c r="V25" i="94"/>
  <c r="V17" i="94"/>
  <c r="V64" i="94"/>
  <c r="V60" i="94"/>
  <c r="V56" i="94"/>
  <c r="V48" i="94"/>
  <c r="V40" i="94"/>
  <c r="V36" i="94"/>
  <c r="V32" i="94"/>
  <c r="V24" i="94"/>
  <c r="V72" i="94"/>
  <c r="V63" i="94"/>
  <c r="V59" i="94"/>
  <c r="V51" i="94"/>
  <c r="V43" i="94"/>
  <c r="V35" i="94"/>
  <c r="V31" i="94"/>
  <c r="V21" i="94"/>
  <c r="V69" i="94"/>
  <c r="V70" i="94"/>
  <c r="V30" i="94"/>
  <c r="V34" i="94"/>
  <c r="T21" i="94"/>
  <c r="V53" i="94"/>
  <c r="V50" i="94"/>
  <c r="V29" i="94"/>
  <c r="V45" i="94"/>
  <c r="V42" i="94"/>
  <c r="H78" i="94"/>
  <c r="N21" i="94"/>
  <c r="D28" i="93"/>
  <c r="F21" i="92"/>
  <c r="D46" i="91"/>
  <c r="L16" i="91"/>
  <c r="X16" i="93"/>
  <c r="P24" i="93"/>
  <c r="H34" i="89"/>
  <c r="X16" i="88"/>
  <c r="P32" i="88"/>
  <c r="X12" i="87"/>
  <c r="Z12" i="87" s="1"/>
  <c r="R18" i="90"/>
  <c r="H36" i="80"/>
  <c r="N32" i="80"/>
  <c r="R76" i="85"/>
  <c r="X17" i="84"/>
  <c r="Z17" i="84" s="1"/>
  <c r="N20" i="79"/>
  <c r="H79" i="79"/>
  <c r="L18" i="98"/>
  <c r="D27" i="98"/>
  <c r="P29" i="75"/>
  <c r="X23" i="75"/>
  <c r="V93" i="71"/>
  <c r="V83" i="71"/>
  <c r="V79" i="71"/>
  <c r="V71" i="71"/>
  <c r="V63" i="71"/>
  <c r="V59" i="71"/>
  <c r="V43" i="71"/>
  <c r="V35" i="71"/>
  <c r="V86" i="71"/>
  <c r="V82" i="71"/>
  <c r="V70" i="71"/>
  <c r="V62" i="71"/>
  <c r="V58" i="71"/>
  <c r="T49" i="71"/>
  <c r="V49" i="71" s="1"/>
  <c r="V42" i="71"/>
  <c r="V91" i="71"/>
  <c r="V85" i="71"/>
  <c r="V81" i="71"/>
  <c r="V73" i="71"/>
  <c r="V57" i="71"/>
  <c r="V41" i="71"/>
  <c r="V97" i="71"/>
  <c r="V87" i="71"/>
  <c r="V75" i="71"/>
  <c r="V67" i="71"/>
  <c r="V74" i="71"/>
  <c r="V52" i="71"/>
  <c r="V45" i="71"/>
  <c r="V38" i="71"/>
  <c r="V92" i="71"/>
  <c r="V88" i="71"/>
  <c r="V72" i="71"/>
  <c r="V61" i="71"/>
  <c r="V60" i="71"/>
  <c r="V53" i="71"/>
  <c r="V46" i="71"/>
  <c r="V39" i="71"/>
  <c r="V69" i="71"/>
  <c r="V68" i="71"/>
  <c r="V65" i="71"/>
  <c r="V64" i="71"/>
  <c r="V54" i="71"/>
  <c r="V47" i="71"/>
  <c r="V40" i="71"/>
  <c r="V90" i="71"/>
  <c r="V66" i="71"/>
  <c r="V55" i="71"/>
  <c r="V51" i="71"/>
  <c r="Z12" i="71"/>
  <c r="V77" i="71"/>
  <c r="V56" i="71"/>
  <c r="V78" i="71"/>
  <c r="V36" i="71"/>
  <c r="V44" i="71"/>
  <c r="V84" i="71"/>
  <c r="V76" i="71"/>
  <c r="V80" i="71"/>
  <c r="V37" i="71"/>
  <c r="V71" i="70"/>
  <c r="V70" i="70"/>
  <c r="V74" i="70"/>
  <c r="V62" i="70"/>
  <c r="V50" i="70"/>
  <c r="V42" i="70"/>
  <c r="V38" i="70"/>
  <c r="V30" i="70"/>
  <c r="V53" i="70"/>
  <c r="V49" i="70"/>
  <c r="V41" i="70"/>
  <c r="V37" i="70"/>
  <c r="V27" i="70"/>
  <c r="V78" i="70"/>
  <c r="V52" i="70"/>
  <c r="V44" i="70"/>
  <c r="V40" i="70"/>
  <c r="V36" i="70"/>
  <c r="T27" i="70"/>
  <c r="Z12" i="70"/>
  <c r="V73" i="70"/>
  <c r="V59" i="70"/>
  <c r="V55" i="70"/>
  <c r="V51" i="70"/>
  <c r="V43" i="70"/>
  <c r="V39" i="70"/>
  <c r="V35" i="70"/>
  <c r="V68" i="70"/>
  <c r="V58" i="70"/>
  <c r="V54" i="70"/>
  <c r="V46" i="70"/>
  <c r="V34" i="70"/>
  <c r="V66" i="70"/>
  <c r="V65" i="70"/>
  <c r="V64" i="70"/>
  <c r="V60" i="70"/>
  <c r="V56" i="70"/>
  <c r="V48" i="70"/>
  <c r="V32" i="70"/>
  <c r="V31" i="70"/>
  <c r="V67" i="70"/>
  <c r="V45" i="70"/>
  <c r="V29" i="70"/>
  <c r="V63" i="70"/>
  <c r="V57" i="70"/>
  <c r="V25" i="70"/>
  <c r="V69" i="70"/>
  <c r="V47" i="70"/>
  <c r="V33" i="70"/>
  <c r="V61" i="70"/>
  <c r="F112" i="66"/>
  <c r="F70" i="66"/>
  <c r="F66" i="66"/>
  <c r="F57" i="66"/>
  <c r="F50" i="66"/>
  <c r="F42" i="66"/>
  <c r="F106" i="66"/>
  <c r="F96" i="66"/>
  <c r="F93" i="66"/>
  <c r="F89" i="66"/>
  <c r="F84" i="66"/>
  <c r="F81" i="66"/>
  <c r="F76" i="66"/>
  <c r="F69" i="66"/>
  <c r="F65" i="66"/>
  <c r="F99" i="66"/>
  <c r="F92" i="66"/>
  <c r="F64" i="66"/>
  <c r="F48" i="66"/>
  <c r="F40" i="66"/>
  <c r="F102" i="66"/>
  <c r="F95" i="66"/>
  <c r="F91" i="66"/>
  <c r="F86" i="66"/>
  <c r="F83" i="66"/>
  <c r="F78" i="66"/>
  <c r="F75" i="66"/>
  <c r="F63" i="66"/>
  <c r="F58" i="66"/>
  <c r="F47" i="66"/>
  <c r="F39" i="66"/>
  <c r="F107" i="66"/>
  <c r="F98" i="66"/>
  <c r="F74" i="66"/>
  <c r="F62" i="66"/>
  <c r="F55" i="66"/>
  <c r="F46" i="66"/>
  <c r="F101" i="66"/>
  <c r="F97" i="66"/>
  <c r="F88" i="66"/>
  <c r="F85" i="66"/>
  <c r="F80" i="66"/>
  <c r="F77" i="66"/>
  <c r="F73" i="66"/>
  <c r="F68" i="66"/>
  <c r="F61" i="66"/>
  <c r="D55" i="66"/>
  <c r="F53" i="66"/>
  <c r="F45" i="66"/>
  <c r="F71" i="66"/>
  <c r="F51" i="66"/>
  <c r="F44" i="66"/>
  <c r="F108" i="66"/>
  <c r="F94" i="66"/>
  <c r="F60" i="66"/>
  <c r="F41" i="66"/>
  <c r="F90" i="66"/>
  <c r="F82" i="66"/>
  <c r="F72" i="66"/>
  <c r="F38" i="66"/>
  <c r="F103" i="66"/>
  <c r="F87" i="66"/>
  <c r="F52" i="66"/>
  <c r="F49" i="66"/>
  <c r="F105" i="66"/>
  <c r="F43" i="66"/>
  <c r="F100" i="66"/>
  <c r="L12" i="66"/>
  <c r="N12" i="66" s="1"/>
  <c r="F79" i="66"/>
  <c r="F59" i="66"/>
  <c r="F67" i="66"/>
  <c r="T60" i="56"/>
  <c r="Z16" i="56"/>
  <c r="T97" i="62"/>
  <c r="Z17" i="62"/>
  <c r="H68" i="58"/>
  <c r="D68" i="58"/>
  <c r="L64" i="58"/>
  <c r="N64" i="58" s="1"/>
  <c r="P67" i="56"/>
  <c r="T27" i="44"/>
  <c r="Z18" i="44"/>
  <c r="P54" i="59"/>
  <c r="X50" i="59"/>
  <c r="P31" i="41"/>
  <c r="L90" i="51"/>
  <c r="N90" i="51" s="1"/>
  <c r="L93" i="42"/>
  <c r="N93" i="42" s="1"/>
  <c r="P27" i="38"/>
  <c r="X18" i="38"/>
  <c r="P36" i="44"/>
  <c r="R94" i="42"/>
  <c r="R91" i="42"/>
  <c r="R88" i="42"/>
  <c r="R79" i="42"/>
  <c r="R71" i="42"/>
  <c r="R68" i="42"/>
  <c r="R64" i="42"/>
  <c r="R59" i="42"/>
  <c r="R56" i="42"/>
  <c r="R51" i="42"/>
  <c r="R39" i="42"/>
  <c r="R27" i="42"/>
  <c r="R100" i="42"/>
  <c r="R78" i="42"/>
  <c r="R75" i="42"/>
  <c r="R47" i="42"/>
  <c r="R42" i="42"/>
  <c r="R38" i="42"/>
  <c r="R34" i="42"/>
  <c r="R19" i="42"/>
  <c r="R90" i="42"/>
  <c r="R85" i="42"/>
  <c r="R70" i="42"/>
  <c r="R61" i="42"/>
  <c r="R58" i="42"/>
  <c r="R53" i="42"/>
  <c r="R50" i="42"/>
  <c r="R37" i="42"/>
  <c r="R33" i="42"/>
  <c r="R26" i="42"/>
  <c r="R95" i="42"/>
  <c r="R84" i="42"/>
  <c r="R77" i="42"/>
  <c r="R44" i="42"/>
  <c r="R41" i="42"/>
  <c r="R36" i="42"/>
  <c r="R32" i="42"/>
  <c r="R87" i="42"/>
  <c r="R83" i="42"/>
  <c r="R67" i="42"/>
  <c r="R63" i="42"/>
  <c r="R60" i="42"/>
  <c r="R55" i="42"/>
  <c r="R52" i="42"/>
  <c r="R31" i="42"/>
  <c r="P23" i="42"/>
  <c r="R93" i="42"/>
  <c r="R82" i="42"/>
  <c r="R74" i="42"/>
  <c r="R66" i="42"/>
  <c r="R46" i="42"/>
  <c r="R43" i="42"/>
  <c r="R35" i="42"/>
  <c r="R30" i="42"/>
  <c r="R96" i="42"/>
  <c r="R89" i="42"/>
  <c r="R86" i="42"/>
  <c r="R81" i="42"/>
  <c r="R73" i="42"/>
  <c r="R69" i="42"/>
  <c r="R65" i="42"/>
  <c r="R62" i="42"/>
  <c r="R57" i="42"/>
  <c r="R54" i="42"/>
  <c r="R49" i="42"/>
  <c r="R29" i="42"/>
  <c r="R21" i="42"/>
  <c r="X12" i="42"/>
  <c r="Z12" i="42" s="1"/>
  <c r="R45" i="42"/>
  <c r="R20" i="42"/>
  <c r="R76" i="42"/>
  <c r="R48" i="42"/>
  <c r="R80" i="42"/>
  <c r="R72" i="42"/>
  <c r="R40" i="42"/>
  <c r="R28" i="42"/>
  <c r="R25" i="42"/>
  <c r="X18" i="37"/>
  <c r="L18" i="31"/>
  <c r="D27" i="31"/>
  <c r="N27" i="43"/>
  <c r="H31" i="43"/>
  <c r="X18" i="41"/>
  <c r="L18" i="34"/>
  <c r="D27" i="34"/>
  <c r="R69" i="33"/>
  <c r="R61" i="33"/>
  <c r="R57" i="33"/>
  <c r="R37" i="33"/>
  <c r="P29" i="33"/>
  <c r="R75" i="33"/>
  <c r="R68" i="33"/>
  <c r="R60" i="33"/>
  <c r="R53" i="33"/>
  <c r="R48" i="33"/>
  <c r="R45" i="33"/>
  <c r="R41" i="33"/>
  <c r="R36" i="33"/>
  <c r="X12" i="33"/>
  <c r="Z12" i="33" s="1"/>
  <c r="R81" i="33"/>
  <c r="R71" i="33"/>
  <c r="R67" i="33"/>
  <c r="R63" i="33"/>
  <c r="R59" i="33"/>
  <c r="R56" i="33"/>
  <c r="R35" i="33"/>
  <c r="R27" i="33"/>
  <c r="R66" i="33"/>
  <c r="R50" i="33"/>
  <c r="R47" i="33"/>
  <c r="R34" i="33"/>
  <c r="R31" i="33"/>
  <c r="R26" i="33"/>
  <c r="R72" i="33"/>
  <c r="R64" i="33"/>
  <c r="R55" i="33"/>
  <c r="R43" i="33"/>
  <c r="R39" i="33"/>
  <c r="R32" i="33"/>
  <c r="R77" i="33"/>
  <c r="R54" i="33"/>
  <c r="R51" i="33"/>
  <c r="R46" i="33"/>
  <c r="R42" i="33"/>
  <c r="R38" i="33"/>
  <c r="R29" i="33"/>
  <c r="R52" i="33"/>
  <c r="R76" i="33"/>
  <c r="R49" i="33"/>
  <c r="R44" i="33"/>
  <c r="R40" i="33"/>
  <c r="R73" i="33"/>
  <c r="R70" i="33"/>
  <c r="R58" i="33"/>
  <c r="R33" i="33"/>
  <c r="R25" i="33"/>
  <c r="R65" i="33"/>
  <c r="R62" i="33"/>
  <c r="F109" i="39"/>
  <c r="F87" i="39"/>
  <c r="F62" i="39"/>
  <c r="F59" i="39"/>
  <c r="F47" i="39"/>
  <c r="F35" i="39"/>
  <c r="F103" i="39"/>
  <c r="F97" i="39"/>
  <c r="F94" i="39"/>
  <c r="F77" i="39"/>
  <c r="F73" i="39"/>
  <c r="F70" i="39"/>
  <c r="F65" i="39"/>
  <c r="F53" i="39"/>
  <c r="F50" i="39"/>
  <c r="F46" i="39"/>
  <c r="F42" i="39"/>
  <c r="F33" i="39"/>
  <c r="F93" i="39"/>
  <c r="F84" i="39"/>
  <c r="F99" i="39"/>
  <c r="F96" i="39"/>
  <c r="F92" i="39"/>
  <c r="F79" i="39"/>
  <c r="F76" i="39"/>
  <c r="F72" i="39"/>
  <c r="F67" i="39"/>
  <c r="F64" i="39"/>
  <c r="F55" i="39"/>
  <c r="F52" i="39"/>
  <c r="F44" i="39"/>
  <c r="F40" i="39"/>
  <c r="F27" i="39"/>
  <c r="F104" i="39"/>
  <c r="F91" i="39"/>
  <c r="F86" i="39"/>
  <c r="F83" i="39"/>
  <c r="F75" i="39"/>
  <c r="F63" i="39"/>
  <c r="F58" i="39"/>
  <c r="F39" i="39"/>
  <c r="F34" i="39"/>
  <c r="F98" i="39"/>
  <c r="F90" i="39"/>
  <c r="F102" i="39"/>
  <c r="F89" i="39"/>
  <c r="F85" i="39"/>
  <c r="F81" i="39"/>
  <c r="F60" i="39"/>
  <c r="F57" i="39"/>
  <c r="F37" i="39"/>
  <c r="D31" i="39"/>
  <c r="F29" i="39"/>
  <c r="F88" i="39"/>
  <c r="F82" i="39"/>
  <c r="F56" i="39"/>
  <c r="F49" i="39"/>
  <c r="L12" i="39"/>
  <c r="N12" i="39" s="1"/>
  <c r="F68" i="39"/>
  <c r="F36" i="39"/>
  <c r="F31" i="39"/>
  <c r="F100" i="39"/>
  <c r="F80" i="39"/>
  <c r="F51" i="39"/>
  <c r="F69" i="39"/>
  <c r="F43" i="39"/>
  <c r="F28" i="39"/>
  <c r="F105" i="39"/>
  <c r="F66" i="39"/>
  <c r="F48" i="39"/>
  <c r="F45" i="39"/>
  <c r="F38" i="39"/>
  <c r="F95" i="39"/>
  <c r="F78" i="39"/>
  <c r="F74" i="39"/>
  <c r="F61" i="39"/>
  <c r="F41" i="39"/>
  <c r="F54" i="39"/>
  <c r="F71" i="39"/>
  <c r="J76" i="33"/>
  <c r="J70" i="33"/>
  <c r="J62" i="33"/>
  <c r="J58" i="33"/>
  <c r="J52" i="33"/>
  <c r="J44" i="33"/>
  <c r="J40" i="33"/>
  <c r="J55" i="33"/>
  <c r="J49" i="33"/>
  <c r="J43" i="33"/>
  <c r="J39" i="33"/>
  <c r="J25" i="33"/>
  <c r="J72" i="33"/>
  <c r="J64" i="33"/>
  <c r="J54" i="33"/>
  <c r="J46" i="33"/>
  <c r="J42" i="33"/>
  <c r="J38" i="33"/>
  <c r="J32" i="33"/>
  <c r="J77" i="33"/>
  <c r="J69" i="33"/>
  <c r="J61" i="33"/>
  <c r="J57" i="33"/>
  <c r="J51" i="33"/>
  <c r="J37" i="33"/>
  <c r="J66" i="33"/>
  <c r="J56" i="33"/>
  <c r="J50" i="33"/>
  <c r="J34" i="33"/>
  <c r="J26" i="33"/>
  <c r="J73" i="33"/>
  <c r="J65" i="33"/>
  <c r="J47" i="33"/>
  <c r="J33" i="33"/>
  <c r="J31" i="33"/>
  <c r="J36" i="33"/>
  <c r="H29" i="33"/>
  <c r="J29" i="33" s="1"/>
  <c r="J75" i="33"/>
  <c r="J71" i="33"/>
  <c r="J68" i="33"/>
  <c r="J59" i="33"/>
  <c r="J48" i="33"/>
  <c r="J53" i="33"/>
  <c r="J63" i="33"/>
  <c r="J60" i="33"/>
  <c r="J45" i="33"/>
  <c r="J41" i="33"/>
  <c r="J81" i="33"/>
  <c r="J35" i="33"/>
  <c r="J67" i="33"/>
  <c r="J27" i="33"/>
  <c r="N12" i="33"/>
  <c r="D27" i="23"/>
  <c r="L18" i="23"/>
  <c r="X18" i="34"/>
  <c r="P27" i="34"/>
  <c r="J78" i="24"/>
  <c r="J70" i="24"/>
  <c r="J64" i="24"/>
  <c r="J46" i="24"/>
  <c r="J44" i="24"/>
  <c r="J38" i="24"/>
  <c r="J77" i="24"/>
  <c r="J73" i="24"/>
  <c r="J69" i="24"/>
  <c r="J57" i="24"/>
  <c r="J37" i="24"/>
  <c r="J84" i="24"/>
  <c r="J80" i="24"/>
  <c r="J76" i="24"/>
  <c r="J72" i="24"/>
  <c r="J66" i="24"/>
  <c r="J60" i="24"/>
  <c r="J54" i="24"/>
  <c r="J50" i="24"/>
  <c r="J36" i="24"/>
  <c r="J30" i="24"/>
  <c r="J75" i="24"/>
  <c r="J63" i="24"/>
  <c r="J59" i="24"/>
  <c r="J45" i="24"/>
  <c r="J35" i="24"/>
  <c r="J88" i="24"/>
  <c r="J82" i="24"/>
  <c r="J68" i="24"/>
  <c r="J62" i="24"/>
  <c r="J56" i="24"/>
  <c r="J42" i="24"/>
  <c r="J34" i="24"/>
  <c r="J79" i="24"/>
  <c r="J71" i="24"/>
  <c r="J65" i="24"/>
  <c r="J53" i="24"/>
  <c r="J49" i="24"/>
  <c r="H42" i="24"/>
  <c r="J33" i="24"/>
  <c r="J74" i="24"/>
  <c r="J58" i="24"/>
  <c r="J52" i="24"/>
  <c r="J48" i="24"/>
  <c r="J40" i="24"/>
  <c r="J32" i="24"/>
  <c r="J67" i="24"/>
  <c r="J51" i="24"/>
  <c r="N12" i="24"/>
  <c r="J31" i="24"/>
  <c r="J55" i="24"/>
  <c r="J39" i="24"/>
  <c r="J81" i="24"/>
  <c r="J47" i="24"/>
  <c r="J61" i="24"/>
  <c r="D31" i="32"/>
  <c r="L27" i="32"/>
  <c r="T27" i="28"/>
  <c r="Z18" i="28"/>
  <c r="T27" i="17"/>
  <c r="Z18" i="17"/>
  <c r="L230" i="18"/>
  <c r="N230" i="18" s="1"/>
  <c r="L18" i="16"/>
  <c r="D27" i="16"/>
  <c r="X105" i="27"/>
  <c r="Z105" i="27" s="1"/>
  <c r="Z31" i="20"/>
  <c r="T36" i="20"/>
  <c r="Z36" i="20" s="1"/>
  <c r="F84" i="21"/>
  <c r="F78" i="21"/>
  <c r="F70" i="21"/>
  <c r="F66" i="21"/>
  <c r="F49" i="21"/>
  <c r="F46" i="21"/>
  <c r="F34" i="21"/>
  <c r="F27" i="21"/>
  <c r="F60" i="21"/>
  <c r="F57" i="21"/>
  <c r="F52" i="21"/>
  <c r="F33" i="21"/>
  <c r="D27" i="21"/>
  <c r="F25" i="21"/>
  <c r="F59" i="21"/>
  <c r="F54" i="21"/>
  <c r="F51" i="21"/>
  <c r="F31" i="21"/>
  <c r="F77" i="21"/>
  <c r="F74" i="21"/>
  <c r="F69" i="21"/>
  <c r="F65" i="21"/>
  <c r="F62" i="21"/>
  <c r="F50" i="21"/>
  <c r="F45" i="21"/>
  <c r="F73" i="21"/>
  <c r="F61" i="21"/>
  <c r="F56" i="21"/>
  <c r="F53" i="21"/>
  <c r="F41" i="21"/>
  <c r="F37" i="21"/>
  <c r="F76" i="21"/>
  <c r="F72" i="21"/>
  <c r="F68" i="21"/>
  <c r="F64" i="21"/>
  <c r="F47" i="21"/>
  <c r="F44" i="21"/>
  <c r="F40" i="21"/>
  <c r="F36" i="21"/>
  <c r="F80" i="21"/>
  <c r="F75" i="21"/>
  <c r="F39" i="21"/>
  <c r="F24" i="21"/>
  <c r="F23" i="21"/>
  <c r="F30" i="21"/>
  <c r="F71" i="21"/>
  <c r="F67" i="21"/>
  <c r="F63" i="21"/>
  <c r="F42" i="21"/>
  <c r="F29" i="21"/>
  <c r="L12" i="21"/>
  <c r="F55" i="21"/>
  <c r="F48" i="21"/>
  <c r="F43" i="21"/>
  <c r="F38" i="21"/>
  <c r="F35" i="21"/>
  <c r="F32" i="21"/>
  <c r="F58" i="21"/>
  <c r="H86" i="21"/>
  <c r="X18" i="5"/>
  <c r="P27" i="5"/>
  <c r="F204" i="15"/>
  <c r="F200" i="15"/>
  <c r="F192" i="15"/>
  <c r="F184" i="15"/>
  <c r="F171" i="15"/>
  <c r="F168" i="15"/>
  <c r="F156" i="15"/>
  <c r="F151" i="15"/>
  <c r="F144" i="15"/>
  <c r="F139" i="15"/>
  <c r="F208" i="15"/>
  <c r="F203" i="15"/>
  <c r="F191" i="15"/>
  <c r="F187" i="15"/>
  <c r="F183" i="15"/>
  <c r="F179" i="15"/>
  <c r="F175" i="15"/>
  <c r="F162" i="15"/>
  <c r="F159" i="15"/>
  <c r="F147" i="15"/>
  <c r="F211" i="15"/>
  <c r="F206" i="15"/>
  <c r="F202" i="15"/>
  <c r="F190" i="15"/>
  <c r="F186" i="15"/>
  <c r="F182" i="15"/>
  <c r="F178" i="15"/>
  <c r="F174" i="15"/>
  <c r="F170" i="15"/>
  <c r="F158" i="15"/>
  <c r="F153" i="15"/>
  <c r="F196" i="15"/>
  <c r="F189" i="15"/>
  <c r="F181" i="15"/>
  <c r="F177" i="15"/>
  <c r="F173" i="15"/>
  <c r="F164" i="15"/>
  <c r="F161" i="15"/>
  <c r="F149" i="15"/>
  <c r="F212" i="15"/>
  <c r="F195" i="15"/>
  <c r="F163" i="15"/>
  <c r="F216" i="15"/>
  <c r="F205" i="15"/>
  <c r="F201" i="15"/>
  <c r="F198" i="15"/>
  <c r="F194" i="15"/>
  <c r="F185" i="15"/>
  <c r="F169" i="15"/>
  <c r="F166" i="15"/>
  <c r="F157" i="15"/>
  <c r="F154" i="15"/>
  <c r="F210" i="15"/>
  <c r="F197" i="15"/>
  <c r="F193" i="15"/>
  <c r="F188" i="15"/>
  <c r="F180" i="15"/>
  <c r="F176" i="15"/>
  <c r="F165" i="15"/>
  <c r="F160" i="15"/>
  <c r="F148" i="15"/>
  <c r="F172" i="15"/>
  <c r="F152" i="15"/>
  <c r="F143" i="15"/>
  <c r="F142" i="15"/>
  <c r="F140" i="15"/>
  <c r="F126" i="15"/>
  <c r="F110" i="15"/>
  <c r="F102" i="15"/>
  <c r="F94" i="15"/>
  <c r="F86" i="15"/>
  <c r="F209" i="15"/>
  <c r="F167" i="15"/>
  <c r="F145" i="15"/>
  <c r="F141" i="15"/>
  <c r="F125" i="15"/>
  <c r="F120" i="15"/>
  <c r="F109" i="15"/>
  <c r="F101" i="15"/>
  <c r="F93" i="15"/>
  <c r="F85" i="15"/>
  <c r="F131" i="15"/>
  <c r="F124" i="15"/>
  <c r="F108" i="15"/>
  <c r="F100" i="15"/>
  <c r="F92" i="15"/>
  <c r="F84" i="15"/>
  <c r="L12" i="15"/>
  <c r="N12" i="15" s="1"/>
  <c r="F138" i="15"/>
  <c r="F137" i="15"/>
  <c r="F136" i="15"/>
  <c r="F135" i="15"/>
  <c r="F130" i="15"/>
  <c r="F122" i="15"/>
  <c r="F114" i="15"/>
  <c r="F106" i="15"/>
  <c r="F98" i="15"/>
  <c r="F90" i="15"/>
  <c r="F82" i="15"/>
  <c r="F199" i="15"/>
  <c r="F155" i="15"/>
  <c r="F150" i="15"/>
  <c r="F132" i="15"/>
  <c r="F128" i="15"/>
  <c r="F119" i="15"/>
  <c r="F112" i="15"/>
  <c r="F104" i="15"/>
  <c r="F96" i="15"/>
  <c r="F88" i="15"/>
  <c r="F80" i="15"/>
  <c r="F146" i="15"/>
  <c r="F127" i="15"/>
  <c r="F111" i="15"/>
  <c r="F103" i="15"/>
  <c r="F95" i="15"/>
  <c r="F87" i="15"/>
  <c r="F79" i="15"/>
  <c r="F115" i="15"/>
  <c r="F133" i="15"/>
  <c r="F121" i="15"/>
  <c r="F107" i="15"/>
  <c r="F78" i="15"/>
  <c r="D117" i="15"/>
  <c r="F117" i="15" s="1"/>
  <c r="F113" i="15"/>
  <c r="F99" i="15"/>
  <c r="F134" i="15"/>
  <c r="F129" i="15"/>
  <c r="F97" i="15"/>
  <c r="F89" i="15"/>
  <c r="F81" i="15"/>
  <c r="F123" i="15"/>
  <c r="F105" i="15"/>
  <c r="F91" i="15"/>
  <c r="F83" i="15"/>
  <c r="X18" i="10"/>
  <c r="P27" i="10"/>
  <c r="H27" i="10"/>
  <c r="N18" i="10"/>
  <c r="R220" i="12"/>
  <c r="R197" i="12"/>
  <c r="R189" i="12"/>
  <c r="R185" i="12"/>
  <c r="R181" i="12"/>
  <c r="R177" i="12"/>
  <c r="R174" i="12"/>
  <c r="R162" i="12"/>
  <c r="R157" i="12"/>
  <c r="R150" i="12"/>
  <c r="R145" i="12"/>
  <c r="R141" i="12"/>
  <c r="R129" i="12"/>
  <c r="R113" i="12"/>
  <c r="R105" i="12"/>
  <c r="R97" i="12"/>
  <c r="R89" i="12"/>
  <c r="R213" i="12"/>
  <c r="R209" i="12"/>
  <c r="R193" i="12"/>
  <c r="R188" i="12"/>
  <c r="R184" i="12"/>
  <c r="R180" i="12"/>
  <c r="R168" i="12"/>
  <c r="R165" i="12"/>
  <c r="R153" i="12"/>
  <c r="R140" i="12"/>
  <c r="R128" i="12"/>
  <c r="R120" i="12"/>
  <c r="R112" i="12"/>
  <c r="R104" i="12"/>
  <c r="R96" i="12"/>
  <c r="R88" i="12"/>
  <c r="R81" i="12"/>
  <c r="R218" i="12"/>
  <c r="R203" i="12"/>
  <c r="R196" i="12"/>
  <c r="R179" i="12"/>
  <c r="R176" i="12"/>
  <c r="R159" i="12"/>
  <c r="R156" i="12"/>
  <c r="R147" i="12"/>
  <c r="R144" i="12"/>
  <c r="R139" i="12"/>
  <c r="R135" i="12"/>
  <c r="R127" i="12"/>
  <c r="R124" i="12"/>
  <c r="R119" i="12"/>
  <c r="R111" i="12"/>
  <c r="R103" i="12"/>
  <c r="R95" i="12"/>
  <c r="R87" i="12"/>
  <c r="R216" i="12"/>
  <c r="R205" i="12"/>
  <c r="R201" i="12"/>
  <c r="R178" i="12"/>
  <c r="R173" i="12"/>
  <c r="R161" i="12"/>
  <c r="R158" i="12"/>
  <c r="R149" i="12"/>
  <c r="R146" i="12"/>
  <c r="R137" i="12"/>
  <c r="R133" i="12"/>
  <c r="R117" i="12"/>
  <c r="R109" i="12"/>
  <c r="R101" i="12"/>
  <c r="R93" i="12"/>
  <c r="R85" i="12"/>
  <c r="R211" i="12"/>
  <c r="R204" i="12"/>
  <c r="R199" i="12"/>
  <c r="R195" i="12"/>
  <c r="R191" i="12"/>
  <c r="R175" i="12"/>
  <c r="R163" i="12"/>
  <c r="R160" i="12"/>
  <c r="R155" i="12"/>
  <c r="R151" i="12"/>
  <c r="R148" i="12"/>
  <c r="R143" i="12"/>
  <c r="R136" i="12"/>
  <c r="R131" i="12"/>
  <c r="R122" i="12"/>
  <c r="R115" i="12"/>
  <c r="R107" i="12"/>
  <c r="R99" i="12"/>
  <c r="R91" i="12"/>
  <c r="R83" i="12"/>
  <c r="R217" i="12"/>
  <c r="R214" i="12"/>
  <c r="R210" i="12"/>
  <c r="R207" i="12"/>
  <c r="R198" i="12"/>
  <c r="R194" i="12"/>
  <c r="R190" i="12"/>
  <c r="R186" i="12"/>
  <c r="R182" i="12"/>
  <c r="R171" i="12"/>
  <c r="R166" i="12"/>
  <c r="R154" i="12"/>
  <c r="R142" i="12"/>
  <c r="R130" i="12"/>
  <c r="P122" i="12"/>
  <c r="R114" i="12"/>
  <c r="R106" i="12"/>
  <c r="R98" i="12"/>
  <c r="R90" i="12"/>
  <c r="R82" i="12"/>
  <c r="R212" i="12"/>
  <c r="R132" i="12"/>
  <c r="R108" i="12"/>
  <c r="R84" i="12"/>
  <c r="R219" i="12"/>
  <c r="R208" i="12"/>
  <c r="R169" i="12"/>
  <c r="R118" i="12"/>
  <c r="R138" i="12"/>
  <c r="R102" i="12"/>
  <c r="X12" i="12"/>
  <c r="Z12" i="12" s="1"/>
  <c r="R224" i="12"/>
  <c r="R164" i="12"/>
  <c r="R202" i="12"/>
  <c r="R192" i="12"/>
  <c r="R167" i="12"/>
  <c r="R152" i="12"/>
  <c r="R110" i="12"/>
  <c r="R200" i="12"/>
  <c r="R183" i="12"/>
  <c r="R172" i="12"/>
  <c r="R92" i="12"/>
  <c r="R86" i="12"/>
  <c r="R206" i="12"/>
  <c r="R187" i="12"/>
  <c r="R134" i="12"/>
  <c r="R126" i="12"/>
  <c r="R125" i="12"/>
  <c r="R100" i="12"/>
  <c r="R94" i="12"/>
  <c r="R170" i="12"/>
  <c r="R116" i="12"/>
  <c r="T87" i="9"/>
  <c r="Z16" i="9"/>
  <c r="P27" i="8"/>
  <c r="X18" i="8"/>
  <c r="N27" i="5" l="1"/>
  <c r="H31" i="5"/>
  <c r="N27" i="22"/>
  <c r="H31" i="22"/>
  <c r="L31" i="22" s="1"/>
  <c r="L27" i="53"/>
  <c r="D31" i="53"/>
  <c r="N27" i="38"/>
  <c r="H31" i="38"/>
  <c r="H49" i="60"/>
  <c r="P36" i="41"/>
  <c r="D110" i="66"/>
  <c r="L55" i="66"/>
  <c r="P28" i="93"/>
  <c r="X24" i="93"/>
  <c r="H82" i="94"/>
  <c r="N78" i="94"/>
  <c r="J78" i="94"/>
  <c r="H256" i="3"/>
  <c r="T83" i="33"/>
  <c r="V79" i="33"/>
  <c r="Z27" i="31"/>
  <c r="T31" i="31"/>
  <c r="T48" i="67"/>
  <c r="P83" i="79"/>
  <c r="R79" i="79"/>
  <c r="X21" i="92"/>
  <c r="Z21" i="92" s="1"/>
  <c r="P77" i="92"/>
  <c r="H70" i="86"/>
  <c r="H31" i="31"/>
  <c r="N27" i="31"/>
  <c r="D260" i="3"/>
  <c r="L256" i="3"/>
  <c r="F256" i="3"/>
  <c r="T214" i="15"/>
  <c r="P86" i="24"/>
  <c r="X42" i="24"/>
  <c r="T31" i="47"/>
  <c r="Z27" i="47"/>
  <c r="X27" i="32"/>
  <c r="P31" i="32"/>
  <c r="T98" i="42"/>
  <c r="H31" i="46"/>
  <c r="L31" i="46" s="1"/>
  <c r="N27" i="46"/>
  <c r="D31" i="54"/>
  <c r="P49" i="60"/>
  <c r="X45" i="60"/>
  <c r="Z45" i="60" s="1"/>
  <c r="L70" i="86"/>
  <c r="D73" i="86"/>
  <c r="L77" i="92"/>
  <c r="D81" i="92"/>
  <c r="F77" i="92"/>
  <c r="P34" i="55"/>
  <c r="X30" i="55"/>
  <c r="H91" i="9"/>
  <c r="H113" i="36"/>
  <c r="J109" i="36"/>
  <c r="X27" i="50"/>
  <c r="P31" i="50"/>
  <c r="L78" i="94"/>
  <c r="D34" i="89"/>
  <c r="L30" i="89"/>
  <c r="N30" i="89" s="1"/>
  <c r="D36" i="17"/>
  <c r="D66" i="48"/>
  <c r="F62" i="48"/>
  <c r="N27" i="52"/>
  <c r="H31" i="52"/>
  <c r="H64" i="73"/>
  <c r="T31" i="11"/>
  <c r="X31" i="11" s="1"/>
  <c r="Z27" i="11"/>
  <c r="L27" i="11"/>
  <c r="D31" i="11"/>
  <c r="P31" i="22"/>
  <c r="X27" i="22"/>
  <c r="X88" i="45"/>
  <c r="P92" i="45"/>
  <c r="R88" i="45"/>
  <c r="X49" i="71"/>
  <c r="P95" i="71"/>
  <c r="R49" i="71"/>
  <c r="N27" i="99"/>
  <c r="H31" i="99"/>
  <c r="P36" i="29"/>
  <c r="P31" i="14"/>
  <c r="X27" i="14"/>
  <c r="L27" i="19"/>
  <c r="D31" i="19"/>
  <c r="T31" i="34"/>
  <c r="Z27" i="34"/>
  <c r="N55" i="66"/>
  <c r="H110" i="66"/>
  <c r="P48" i="67"/>
  <c r="X21" i="67"/>
  <c r="Z21" i="67" s="1"/>
  <c r="P36" i="13"/>
  <c r="X31" i="13"/>
  <c r="H28" i="93"/>
  <c r="X23" i="42"/>
  <c r="Z23" i="42" s="1"/>
  <c r="P98" i="42"/>
  <c r="H86" i="24"/>
  <c r="L42" i="24"/>
  <c r="N42" i="24" s="1"/>
  <c r="D107" i="39"/>
  <c r="L31" i="39"/>
  <c r="P33" i="75"/>
  <c r="R29" i="75"/>
  <c r="H39" i="80"/>
  <c r="H81" i="92"/>
  <c r="N77" i="92"/>
  <c r="J77" i="92"/>
  <c r="D36" i="22"/>
  <c r="X27" i="46"/>
  <c r="P31" i="46"/>
  <c r="H63" i="57"/>
  <c r="P66" i="57"/>
  <c r="D69" i="97"/>
  <c r="L66" i="97"/>
  <c r="F66" i="97"/>
  <c r="T83" i="85"/>
  <c r="V79" i="85"/>
  <c r="R21" i="92"/>
  <c r="N18" i="90"/>
  <c r="H46" i="90"/>
  <c r="L18" i="90"/>
  <c r="P36" i="98"/>
  <c r="P95" i="51"/>
  <c r="X49" i="51"/>
  <c r="Z44" i="74"/>
  <c r="T48" i="74"/>
  <c r="L27" i="4"/>
  <c r="D31" i="4"/>
  <c r="H42" i="83"/>
  <c r="N38" i="83"/>
  <c r="H36" i="11"/>
  <c r="N36" i="11" s="1"/>
  <c r="N31" i="11"/>
  <c r="D93" i="24"/>
  <c r="F90" i="24"/>
  <c r="D31" i="28"/>
  <c r="L27" i="28"/>
  <c r="D31" i="37"/>
  <c r="L27" i="37"/>
  <c r="D92" i="45"/>
  <c r="F88" i="45"/>
  <c r="T79" i="79"/>
  <c r="Z20" i="79"/>
  <c r="X45" i="77"/>
  <c r="P102" i="77"/>
  <c r="X27" i="31"/>
  <c r="P31" i="31"/>
  <c r="N27" i="16"/>
  <c r="H31" i="16"/>
  <c r="P81" i="64"/>
  <c r="X39" i="64"/>
  <c r="H36" i="88"/>
  <c r="T31" i="40"/>
  <c r="Z27" i="40"/>
  <c r="L45" i="77"/>
  <c r="D102" i="77"/>
  <c r="D134" i="69"/>
  <c r="L80" i="69"/>
  <c r="L27" i="70"/>
  <c r="D76" i="70"/>
  <c r="D27" i="87"/>
  <c r="T75" i="81"/>
  <c r="X21" i="94"/>
  <c r="P78" i="94"/>
  <c r="T149" i="30"/>
  <c r="L27" i="46"/>
  <c r="D31" i="44"/>
  <c r="L27" i="44"/>
  <c r="J55" i="66"/>
  <c r="D104" i="62"/>
  <c r="T134" i="69"/>
  <c r="D48" i="74"/>
  <c r="L44" i="74"/>
  <c r="P30" i="87"/>
  <c r="T23" i="87"/>
  <c r="Z17" i="87"/>
  <c r="X17" i="87"/>
  <c r="T74" i="76"/>
  <c r="N31" i="100"/>
  <c r="H36" i="100"/>
  <c r="N36" i="100" s="1"/>
  <c r="T109" i="36"/>
  <c r="L68" i="58"/>
  <c r="D71" i="58"/>
  <c r="T95" i="71"/>
  <c r="Z49" i="71"/>
  <c r="P31" i="34"/>
  <c r="X27" i="34"/>
  <c r="R23" i="42"/>
  <c r="H71" i="58"/>
  <c r="N68" i="58"/>
  <c r="P31" i="8"/>
  <c r="X27" i="8"/>
  <c r="P222" i="12"/>
  <c r="X122" i="12"/>
  <c r="X27" i="5"/>
  <c r="P31" i="5"/>
  <c r="Z27" i="17"/>
  <c r="T31" i="17"/>
  <c r="P79" i="33"/>
  <c r="X29" i="33"/>
  <c r="Z29" i="33" s="1"/>
  <c r="P57" i="59"/>
  <c r="L27" i="98"/>
  <c r="D31" i="98"/>
  <c r="L27" i="99"/>
  <c r="D31" i="99"/>
  <c r="H110" i="27"/>
  <c r="L19" i="73"/>
  <c r="N19" i="73" s="1"/>
  <c r="D64" i="73"/>
  <c r="J148" i="3"/>
  <c r="D31" i="10"/>
  <c r="L27" i="10"/>
  <c r="L27" i="26"/>
  <c r="D31" i="26"/>
  <c r="D149" i="30"/>
  <c r="L80" i="30"/>
  <c r="D113" i="36"/>
  <c r="L109" i="36"/>
  <c r="N109" i="36" s="1"/>
  <c r="F109" i="36"/>
  <c r="T54" i="59"/>
  <c r="Z50" i="59"/>
  <c r="X48" i="74"/>
  <c r="P51" i="74"/>
  <c r="D42" i="83"/>
  <c r="L38" i="83"/>
  <c r="H31" i="13"/>
  <c r="L31" i="13" s="1"/>
  <c r="N27" i="13"/>
  <c r="T39" i="82"/>
  <c r="P26" i="6"/>
  <c r="X22" i="6"/>
  <c r="N27" i="14"/>
  <c r="H31" i="14"/>
  <c r="V117" i="15"/>
  <c r="L139" i="18"/>
  <c r="D238" i="18"/>
  <c r="T31" i="41"/>
  <c r="X31" i="41" s="1"/>
  <c r="Z27" i="41"/>
  <c r="L45" i="60"/>
  <c r="N45" i="60" s="1"/>
  <c r="D63" i="57"/>
  <c r="L59" i="57"/>
  <c r="N59" i="57" s="1"/>
  <c r="H48" i="61"/>
  <c r="N44" i="61"/>
  <c r="L44" i="61"/>
  <c r="P36" i="82"/>
  <c r="X32" i="82"/>
  <c r="Z32" i="82" s="1"/>
  <c r="T50" i="91"/>
  <c r="T28" i="93"/>
  <c r="Z24" i="93"/>
  <c r="Z20" i="78"/>
  <c r="T28" i="78"/>
  <c r="H238" i="18"/>
  <c r="N139" i="18"/>
  <c r="T107" i="39"/>
  <c r="P31" i="53"/>
  <c r="X27" i="53"/>
  <c r="D99" i="71"/>
  <c r="F95" i="71"/>
  <c r="H74" i="76"/>
  <c r="T34" i="55"/>
  <c r="Z30" i="55"/>
  <c r="H33" i="75"/>
  <c r="J29" i="75"/>
  <c r="Z62" i="97"/>
  <c r="T66" i="97"/>
  <c r="X62" i="97"/>
  <c r="V62" i="97"/>
  <c r="P36" i="7"/>
  <c r="X36" i="7" s="1"/>
  <c r="X31" i="7"/>
  <c r="H31" i="32"/>
  <c r="L31" i="32" s="1"/>
  <c r="N27" i="32"/>
  <c r="L27" i="35"/>
  <c r="D31" i="35"/>
  <c r="D36" i="50"/>
  <c r="D34" i="55"/>
  <c r="L30" i="55"/>
  <c r="N30" i="55" s="1"/>
  <c r="H76" i="70"/>
  <c r="N27" i="70"/>
  <c r="N27" i="26"/>
  <c r="H31" i="26"/>
  <c r="P109" i="36"/>
  <c r="X24" i="36"/>
  <c r="Z24" i="36" s="1"/>
  <c r="Z27" i="37"/>
  <c r="T31" i="37"/>
  <c r="X27" i="37"/>
  <c r="D36" i="46"/>
  <c r="H95" i="51"/>
  <c r="N49" i="51"/>
  <c r="J49" i="51"/>
  <c r="N21" i="45"/>
  <c r="H88" i="45"/>
  <c r="L88" i="45" s="1"/>
  <c r="T92" i="45"/>
  <c r="Z88" i="45"/>
  <c r="V88" i="45"/>
  <c r="D64" i="56"/>
  <c r="L60" i="56"/>
  <c r="V80" i="69"/>
  <c r="T68" i="73"/>
  <c r="V64" i="73"/>
  <c r="V17" i="87"/>
  <c r="Z27" i="100"/>
  <c r="T31" i="100"/>
  <c r="P36" i="52"/>
  <c r="N80" i="69"/>
  <c r="H134" i="69"/>
  <c r="J80" i="69"/>
  <c r="H36" i="65"/>
  <c r="L32" i="65"/>
  <c r="N32" i="65" s="1"/>
  <c r="H39" i="82"/>
  <c r="N44" i="74"/>
  <c r="H48" i="74"/>
  <c r="X27" i="11"/>
  <c r="L27" i="5"/>
  <c r="D31" i="5"/>
  <c r="D36" i="38"/>
  <c r="H36" i="49"/>
  <c r="N36" i="49" s="1"/>
  <c r="N31" i="49"/>
  <c r="Z31" i="46"/>
  <c r="T36" i="46"/>
  <c r="Z36" i="46" s="1"/>
  <c r="X27" i="70"/>
  <c r="P76" i="70"/>
  <c r="D32" i="78"/>
  <c r="L28" i="78"/>
  <c r="F28" i="78"/>
  <c r="Z34" i="84"/>
  <c r="T38" i="84"/>
  <c r="V34" i="84"/>
  <c r="D53" i="90"/>
  <c r="F50" i="90"/>
  <c r="P149" i="30"/>
  <c r="X80" i="30"/>
  <c r="Z80" i="30" s="1"/>
  <c r="N23" i="42"/>
  <c r="H98" i="42"/>
  <c r="L98" i="42" s="1"/>
  <c r="P91" i="9"/>
  <c r="X87" i="9"/>
  <c r="H31" i="19"/>
  <c r="N27" i="19"/>
  <c r="X27" i="23"/>
  <c r="P31" i="23"/>
  <c r="L27" i="52"/>
  <c r="D31" i="52"/>
  <c r="H81" i="95"/>
  <c r="N21" i="95"/>
  <c r="P78" i="81"/>
  <c r="X75" i="81"/>
  <c r="N17" i="87"/>
  <c r="H23" i="87"/>
  <c r="D39" i="88"/>
  <c r="L36" i="88"/>
  <c r="D50" i="91"/>
  <c r="L46" i="91"/>
  <c r="N46" i="91" s="1"/>
  <c r="Z27" i="4"/>
  <c r="T31" i="4"/>
  <c r="D81" i="64"/>
  <c r="L39" i="64"/>
  <c r="N39" i="64" s="1"/>
  <c r="T31" i="28"/>
  <c r="Z27" i="28"/>
  <c r="D31" i="23"/>
  <c r="L27" i="23"/>
  <c r="H79" i="33"/>
  <c r="P31" i="38"/>
  <c r="X27" i="38"/>
  <c r="Z27" i="44"/>
  <c r="T31" i="44"/>
  <c r="X27" i="44"/>
  <c r="T101" i="62"/>
  <c r="H83" i="79"/>
  <c r="P36" i="88"/>
  <c r="X32" i="88"/>
  <c r="Z32" i="88" s="1"/>
  <c r="P260" i="3"/>
  <c r="R256" i="3"/>
  <c r="Z122" i="12"/>
  <c r="T222" i="12"/>
  <c r="P70" i="86"/>
  <c r="X66" i="86"/>
  <c r="P36" i="16"/>
  <c r="X36" i="16" s="1"/>
  <c r="X31" i="16"/>
  <c r="P31" i="17"/>
  <c r="X27" i="17"/>
  <c r="Z59" i="57"/>
  <c r="T63" i="57"/>
  <c r="T39" i="88"/>
  <c r="N27" i="4"/>
  <c r="H31" i="4"/>
  <c r="L27" i="25"/>
  <c r="D31" i="25"/>
  <c r="P66" i="48"/>
  <c r="X62" i="48"/>
  <c r="R62" i="48"/>
  <c r="D102" i="42"/>
  <c r="F98" i="42"/>
  <c r="P36" i="80"/>
  <c r="X32" i="80"/>
  <c r="Z32" i="80" s="1"/>
  <c r="H34" i="84"/>
  <c r="N17" i="84"/>
  <c r="N20" i="85"/>
  <c r="H79" i="85"/>
  <c r="L79" i="85" s="1"/>
  <c r="J20" i="85"/>
  <c r="D226" i="12"/>
  <c r="F222" i="12"/>
  <c r="X27" i="20"/>
  <c r="P31" i="20"/>
  <c r="H214" i="15"/>
  <c r="N27" i="37"/>
  <c r="H31" i="37"/>
  <c r="H37" i="55"/>
  <c r="P134" i="69"/>
  <c r="X80" i="69"/>
  <c r="Z80" i="69" s="1"/>
  <c r="X38" i="84"/>
  <c r="P41" i="84"/>
  <c r="L27" i="7"/>
  <c r="D31" i="7"/>
  <c r="N27" i="17"/>
  <c r="H31" i="17"/>
  <c r="H101" i="62"/>
  <c r="N97" i="62"/>
  <c r="T71" i="58"/>
  <c r="P74" i="76"/>
  <c r="X70" i="76"/>
  <c r="Z70" i="76" s="1"/>
  <c r="R70" i="76"/>
  <c r="H85" i="64"/>
  <c r="J81" i="64"/>
  <c r="P31" i="4"/>
  <c r="X27" i="4"/>
  <c r="P36" i="11"/>
  <c r="T66" i="48"/>
  <c r="V62" i="48"/>
  <c r="Z62" i="48"/>
  <c r="F80" i="69"/>
  <c r="T102" i="77"/>
  <c r="Z45" i="77"/>
  <c r="T42" i="83"/>
  <c r="Z38" i="83"/>
  <c r="X38" i="83"/>
  <c r="X27" i="49"/>
  <c r="P31" i="49"/>
  <c r="L70" i="76"/>
  <c r="N70" i="76" s="1"/>
  <c r="N27" i="34"/>
  <c r="H31" i="34"/>
  <c r="H31" i="47"/>
  <c r="L31" i="47" s="1"/>
  <c r="N27" i="47"/>
  <c r="J21" i="95"/>
  <c r="X71" i="81"/>
  <c r="Z71" i="81" s="1"/>
  <c r="J17" i="87"/>
  <c r="L32" i="88"/>
  <c r="N32" i="88" s="1"/>
  <c r="N27" i="35"/>
  <c r="H31" i="35"/>
  <c r="X46" i="91"/>
  <c r="Z46" i="91" s="1"/>
  <c r="P50" i="91"/>
  <c r="P214" i="15"/>
  <c r="X117" i="15"/>
  <c r="Z117" i="15" s="1"/>
  <c r="D31" i="31"/>
  <c r="L27" i="31"/>
  <c r="L24" i="93"/>
  <c r="N24" i="93" s="1"/>
  <c r="P110" i="27"/>
  <c r="X55" i="27"/>
  <c r="Z55" i="27" s="1"/>
  <c r="D79" i="33"/>
  <c r="L29" i="33"/>
  <c r="N29" i="33" s="1"/>
  <c r="T31" i="23"/>
  <c r="Z27" i="23"/>
  <c r="P31" i="28"/>
  <c r="X27" i="28"/>
  <c r="Z22" i="54"/>
  <c r="T26" i="54"/>
  <c r="P32" i="78"/>
  <c r="X28" i="78"/>
  <c r="R28" i="78"/>
  <c r="D39" i="80"/>
  <c r="L39" i="80" s="1"/>
  <c r="L36" i="80"/>
  <c r="N36" i="80" s="1"/>
  <c r="L27" i="8"/>
  <c r="D31" i="8"/>
  <c r="X27" i="19"/>
  <c r="P31" i="19"/>
  <c r="D31" i="40"/>
  <c r="L27" i="40"/>
  <c r="T95" i="51"/>
  <c r="Z49" i="51"/>
  <c r="Z27" i="53"/>
  <c r="T31" i="53"/>
  <c r="N27" i="98"/>
  <c r="H31" i="98"/>
  <c r="N122" i="12"/>
  <c r="H222" i="12"/>
  <c r="L222" i="12" s="1"/>
  <c r="P238" i="18"/>
  <c r="X139" i="18"/>
  <c r="R139" i="18"/>
  <c r="L122" i="12"/>
  <c r="Z27" i="8"/>
  <c r="T31" i="8"/>
  <c r="T36" i="38"/>
  <c r="Z36" i="38" s="1"/>
  <c r="Z31" i="38"/>
  <c r="D83" i="79"/>
  <c r="L79" i="79"/>
  <c r="N79" i="79" s="1"/>
  <c r="F79" i="79"/>
  <c r="T86" i="24"/>
  <c r="Z42" i="24"/>
  <c r="H31" i="50"/>
  <c r="L31" i="50" s="1"/>
  <c r="N27" i="50"/>
  <c r="X97" i="62"/>
  <c r="Z97" i="62" s="1"/>
  <c r="H52" i="67"/>
  <c r="P28" i="96"/>
  <c r="X24" i="96"/>
  <c r="N27" i="23"/>
  <c r="H31" i="23"/>
  <c r="D75" i="81"/>
  <c r="L71" i="81"/>
  <c r="N71" i="81" s="1"/>
  <c r="T36" i="43"/>
  <c r="Z36" i="43" s="1"/>
  <c r="Z31" i="43"/>
  <c r="T29" i="75"/>
  <c r="Z23" i="75"/>
  <c r="T39" i="80"/>
  <c r="P88" i="95"/>
  <c r="R85" i="95"/>
  <c r="D77" i="76"/>
  <c r="L74" i="76"/>
  <c r="F74" i="76"/>
  <c r="Z27" i="5"/>
  <c r="T31" i="5"/>
  <c r="Z27" i="19"/>
  <c r="T31" i="19"/>
  <c r="P31" i="25"/>
  <c r="X27" i="25"/>
  <c r="D54" i="59"/>
  <c r="L50" i="59"/>
  <c r="T81" i="95"/>
  <c r="Z21" i="95"/>
  <c r="X21" i="95"/>
  <c r="N31" i="39"/>
  <c r="H107" i="39"/>
  <c r="P26" i="54"/>
  <c r="X22" i="54"/>
  <c r="D52" i="60"/>
  <c r="L49" i="60"/>
  <c r="D31" i="14"/>
  <c r="L27" i="14"/>
  <c r="H89" i="21"/>
  <c r="P31" i="10"/>
  <c r="X27" i="10"/>
  <c r="L27" i="16"/>
  <c r="D31" i="16"/>
  <c r="T76" i="70"/>
  <c r="Z27" i="70"/>
  <c r="D31" i="93"/>
  <c r="L28" i="93"/>
  <c r="T78" i="94"/>
  <c r="Z21" i="94"/>
  <c r="D31" i="20"/>
  <c r="L27" i="20"/>
  <c r="J31" i="39"/>
  <c r="D83" i="85"/>
  <c r="F79" i="85"/>
  <c r="D31" i="96"/>
  <c r="T36" i="13"/>
  <c r="Z36" i="13" s="1"/>
  <c r="Z31" i="13"/>
  <c r="H36" i="20"/>
  <c r="N36" i="20" s="1"/>
  <c r="N31" i="20"/>
  <c r="P31" i="35"/>
  <c r="X27" i="35"/>
  <c r="P36" i="65"/>
  <c r="X32" i="65"/>
  <c r="Z32" i="65" s="1"/>
  <c r="X79" i="85"/>
  <c r="Z79" i="85" s="1"/>
  <c r="P83" i="85"/>
  <c r="R79" i="85"/>
  <c r="T81" i="92"/>
  <c r="V77" i="92"/>
  <c r="T31" i="6"/>
  <c r="Z26" i="6"/>
  <c r="P86" i="21"/>
  <c r="R82" i="21"/>
  <c r="L27" i="13"/>
  <c r="H31" i="28"/>
  <c r="N27" i="28"/>
  <c r="T36" i="32"/>
  <c r="Z36" i="32" s="1"/>
  <c r="Z31" i="32"/>
  <c r="Z27" i="49"/>
  <c r="T31" i="49"/>
  <c r="T31" i="52"/>
  <c r="X31" i="52" s="1"/>
  <c r="Z27" i="52"/>
  <c r="T31" i="98"/>
  <c r="Z27" i="98"/>
  <c r="L29" i="75"/>
  <c r="N29" i="75" s="1"/>
  <c r="D33" i="75"/>
  <c r="F29" i="75"/>
  <c r="T36" i="25"/>
  <c r="Z36" i="25" s="1"/>
  <c r="Z31" i="25"/>
  <c r="H31" i="29"/>
  <c r="L31" i="29" s="1"/>
  <c r="N27" i="29"/>
  <c r="H62" i="48"/>
  <c r="L62" i="48" s="1"/>
  <c r="N17" i="48"/>
  <c r="P104" i="62"/>
  <c r="X101" i="62"/>
  <c r="H78" i="81"/>
  <c r="P34" i="89"/>
  <c r="X30" i="89"/>
  <c r="Z30" i="89" s="1"/>
  <c r="D31" i="100"/>
  <c r="L27" i="100"/>
  <c r="P31" i="99"/>
  <c r="X27" i="99"/>
  <c r="H31" i="6"/>
  <c r="N26" i="6"/>
  <c r="Z27" i="10"/>
  <c r="T31" i="10"/>
  <c r="L55" i="27"/>
  <c r="N55" i="27" s="1"/>
  <c r="D110" i="27"/>
  <c r="P31" i="43"/>
  <c r="X27" i="43"/>
  <c r="D36" i="47"/>
  <c r="T52" i="60"/>
  <c r="D52" i="67"/>
  <c r="L48" i="67"/>
  <c r="N48" i="67" s="1"/>
  <c r="T110" i="66"/>
  <c r="V55" i="66"/>
  <c r="L17" i="84"/>
  <c r="T37" i="89"/>
  <c r="T82" i="21"/>
  <c r="Z27" i="21"/>
  <c r="H26" i="54"/>
  <c r="L26" i="54" s="1"/>
  <c r="N22" i="54"/>
  <c r="Z39" i="64"/>
  <c r="T81" i="64"/>
  <c r="Z139" i="18"/>
  <c r="T238" i="18"/>
  <c r="N60" i="56"/>
  <c r="H64" i="56"/>
  <c r="P68" i="73"/>
  <c r="X64" i="73"/>
  <c r="Z64" i="73" s="1"/>
  <c r="D39" i="82"/>
  <c r="L39" i="82" s="1"/>
  <c r="L36" i="82"/>
  <c r="N36" i="82" s="1"/>
  <c r="N66" i="97"/>
  <c r="H69" i="97"/>
  <c r="J66" i="97"/>
  <c r="D214" i="15"/>
  <c r="L117" i="15"/>
  <c r="N117" i="15" s="1"/>
  <c r="H36" i="43"/>
  <c r="N36" i="43" s="1"/>
  <c r="N31" i="43"/>
  <c r="Z87" i="9"/>
  <c r="T91" i="9"/>
  <c r="N27" i="10"/>
  <c r="H31" i="10"/>
  <c r="D82" i="21"/>
  <c r="L27" i="21"/>
  <c r="N27" i="21" s="1"/>
  <c r="D36" i="32"/>
  <c r="T64" i="56"/>
  <c r="X60" i="56"/>
  <c r="Z60" i="56" s="1"/>
  <c r="L27" i="34"/>
  <c r="D31" i="34"/>
  <c r="H37" i="89"/>
  <c r="F29" i="33"/>
  <c r="T31" i="29"/>
  <c r="Z27" i="29"/>
  <c r="F80" i="30"/>
  <c r="X31" i="39"/>
  <c r="Z31" i="39" s="1"/>
  <c r="P107" i="39"/>
  <c r="D31" i="41"/>
  <c r="L27" i="41"/>
  <c r="X55" i="66"/>
  <c r="Z55" i="66" s="1"/>
  <c r="P110" i="66"/>
  <c r="P68" i="58"/>
  <c r="X64" i="58"/>
  <c r="Z64" i="58" s="1"/>
  <c r="H28" i="96"/>
  <c r="L28" i="96" s="1"/>
  <c r="N24" i="96"/>
  <c r="T114" i="27"/>
  <c r="V110" i="27"/>
  <c r="L148" i="3"/>
  <c r="N148" i="3" s="1"/>
  <c r="R117" i="15"/>
  <c r="R42" i="24"/>
  <c r="Z27" i="26"/>
  <c r="T31" i="26"/>
  <c r="X27" i="26"/>
  <c r="V23" i="42"/>
  <c r="L66" i="86"/>
  <c r="N66" i="86" s="1"/>
  <c r="Z27" i="99"/>
  <c r="T31" i="99"/>
  <c r="D36" i="29"/>
  <c r="D26" i="6"/>
  <c r="L22" i="6"/>
  <c r="D36" i="13"/>
  <c r="J139" i="18"/>
  <c r="P31" i="40"/>
  <c r="X27" i="40"/>
  <c r="H54" i="59"/>
  <c r="N50" i="59"/>
  <c r="H102" i="77"/>
  <c r="N45" i="77"/>
  <c r="D85" i="94"/>
  <c r="L82" i="94"/>
  <c r="F82" i="94"/>
  <c r="T70" i="86"/>
  <c r="Z66" i="86"/>
  <c r="N27" i="8"/>
  <c r="H31" i="8"/>
  <c r="T36" i="35"/>
  <c r="Z36" i="35" s="1"/>
  <c r="Z31" i="35"/>
  <c r="X27" i="47"/>
  <c r="P31" i="47"/>
  <c r="N28" i="78"/>
  <c r="H32" i="78"/>
  <c r="T46" i="90"/>
  <c r="Z18" i="90"/>
  <c r="H31" i="44"/>
  <c r="N27" i="44"/>
  <c r="T256" i="3"/>
  <c r="Z148" i="3"/>
  <c r="D36" i="43"/>
  <c r="L31" i="43"/>
  <c r="H149" i="30"/>
  <c r="N80" i="30"/>
  <c r="H36" i="41"/>
  <c r="N36" i="41" s="1"/>
  <c r="N31" i="41"/>
  <c r="N49" i="71"/>
  <c r="H95" i="71"/>
  <c r="F27" i="70"/>
  <c r="V23" i="75"/>
  <c r="D38" i="84"/>
  <c r="L34" i="84"/>
  <c r="Z24" i="96"/>
  <c r="T28" i="96"/>
  <c r="X27" i="29"/>
  <c r="R21" i="94"/>
  <c r="D91" i="9"/>
  <c r="L87" i="9"/>
  <c r="N87" i="9" s="1"/>
  <c r="N27" i="7"/>
  <c r="H31" i="7"/>
  <c r="Z27" i="14"/>
  <c r="T31" i="14"/>
  <c r="H36" i="25"/>
  <c r="N36" i="25" s="1"/>
  <c r="N31" i="25"/>
  <c r="D99" i="51"/>
  <c r="L95" i="51"/>
  <c r="F95" i="51"/>
  <c r="N27" i="40"/>
  <c r="H31" i="40"/>
  <c r="X46" i="90"/>
  <c r="P50" i="90"/>
  <c r="R46" i="90"/>
  <c r="D85" i="95"/>
  <c r="L81" i="95"/>
  <c r="F81" i="95"/>
  <c r="P31" i="100"/>
  <c r="X27" i="100"/>
  <c r="N31" i="22" l="1"/>
  <c r="H36" i="22"/>
  <c r="N36" i="22" s="1"/>
  <c r="H36" i="38"/>
  <c r="N36" i="38" s="1"/>
  <c r="N31" i="38"/>
  <c r="D36" i="53"/>
  <c r="L36" i="53" s="1"/>
  <c r="L31" i="53"/>
  <c r="L36" i="43"/>
  <c r="L31" i="38"/>
  <c r="N31" i="5"/>
  <c r="H36" i="5"/>
  <c r="N36" i="5" s="1"/>
  <c r="H36" i="7"/>
  <c r="N36" i="7" s="1"/>
  <c r="N31" i="7"/>
  <c r="T86" i="21"/>
  <c r="V82" i="21"/>
  <c r="H35" i="78"/>
  <c r="D31" i="6"/>
  <c r="L31" i="6" s="1"/>
  <c r="L26" i="6"/>
  <c r="P114" i="66"/>
  <c r="X110" i="66"/>
  <c r="R110" i="66"/>
  <c r="Z31" i="29"/>
  <c r="T36" i="29"/>
  <c r="Z36" i="29" s="1"/>
  <c r="T67" i="56"/>
  <c r="X64" i="56"/>
  <c r="Z64" i="56" s="1"/>
  <c r="P36" i="43"/>
  <c r="X36" i="43" s="1"/>
  <c r="X31" i="43"/>
  <c r="P36" i="99"/>
  <c r="X31" i="99"/>
  <c r="X104" i="62"/>
  <c r="D36" i="75"/>
  <c r="L33" i="75"/>
  <c r="F33" i="75"/>
  <c r="T90" i="24"/>
  <c r="V86" i="24"/>
  <c r="T36" i="53"/>
  <c r="Z36" i="53" s="1"/>
  <c r="Z31" i="53"/>
  <c r="D36" i="8"/>
  <c r="L31" i="8"/>
  <c r="P114" i="27"/>
  <c r="X110" i="27"/>
  <c r="Z110" i="27" s="1"/>
  <c r="R110" i="27"/>
  <c r="H36" i="35"/>
  <c r="N36" i="35" s="1"/>
  <c r="N31" i="35"/>
  <c r="H104" i="62"/>
  <c r="X134" i="69"/>
  <c r="P138" i="69"/>
  <c r="R134" i="69"/>
  <c r="H38" i="84"/>
  <c r="N34" i="84"/>
  <c r="X36" i="88"/>
  <c r="Z36" i="88" s="1"/>
  <c r="P39" i="88"/>
  <c r="X39" i="88" s="1"/>
  <c r="H27" i="87"/>
  <c r="N23" i="87"/>
  <c r="J23" i="87"/>
  <c r="P36" i="23"/>
  <c r="X31" i="23"/>
  <c r="L36" i="49"/>
  <c r="T71" i="73"/>
  <c r="V68" i="73"/>
  <c r="N31" i="32"/>
  <c r="H36" i="32"/>
  <c r="N36" i="32" s="1"/>
  <c r="N33" i="75"/>
  <c r="H36" i="75"/>
  <c r="J33" i="75"/>
  <c r="D102" i="71"/>
  <c r="F99" i="71"/>
  <c r="T57" i="59"/>
  <c r="T36" i="17"/>
  <c r="Z36" i="17" s="1"/>
  <c r="Z31" i="17"/>
  <c r="L101" i="62"/>
  <c r="N101" i="62" s="1"/>
  <c r="P82" i="94"/>
  <c r="X78" i="94"/>
  <c r="R78" i="94"/>
  <c r="D36" i="28"/>
  <c r="L31" i="28"/>
  <c r="D36" i="4"/>
  <c r="L31" i="4"/>
  <c r="P36" i="75"/>
  <c r="R33" i="75"/>
  <c r="X48" i="67"/>
  <c r="P52" i="67"/>
  <c r="D36" i="11"/>
  <c r="L36" i="11" s="1"/>
  <c r="L31" i="11"/>
  <c r="P36" i="50"/>
  <c r="X36" i="50" s="1"/>
  <c r="X31" i="50"/>
  <c r="P37" i="55"/>
  <c r="X34" i="55"/>
  <c r="Z34" i="55" s="1"/>
  <c r="D265" i="3"/>
  <c r="F260" i="3"/>
  <c r="P86" i="79"/>
  <c r="X83" i="79"/>
  <c r="R83" i="79"/>
  <c r="P36" i="100"/>
  <c r="X31" i="100"/>
  <c r="P86" i="85"/>
  <c r="X83" i="85"/>
  <c r="Z83" i="85" s="1"/>
  <c r="R83" i="85"/>
  <c r="X31" i="4"/>
  <c r="P36" i="4"/>
  <c r="D88" i="95"/>
  <c r="F85" i="95"/>
  <c r="D102" i="51"/>
  <c r="L99" i="51"/>
  <c r="F99" i="51"/>
  <c r="D94" i="9"/>
  <c r="L91" i="9"/>
  <c r="H57" i="59"/>
  <c r="T117" i="27"/>
  <c r="V114" i="27"/>
  <c r="T85" i="64"/>
  <c r="V81" i="64"/>
  <c r="D114" i="27"/>
  <c r="L110" i="27"/>
  <c r="F110" i="27"/>
  <c r="Z31" i="6"/>
  <c r="P39" i="65"/>
  <c r="X39" i="65" s="1"/>
  <c r="Z39" i="65" s="1"/>
  <c r="X36" i="65"/>
  <c r="Z36" i="65" s="1"/>
  <c r="T82" i="94"/>
  <c r="Z78" i="94"/>
  <c r="V78" i="94"/>
  <c r="D57" i="59"/>
  <c r="L54" i="59"/>
  <c r="N54" i="59" s="1"/>
  <c r="T33" i="75"/>
  <c r="X33" i="75" s="1"/>
  <c r="V29" i="75"/>
  <c r="P31" i="96"/>
  <c r="X28" i="96"/>
  <c r="H36" i="47"/>
  <c r="N36" i="47" s="1"/>
  <c r="N31" i="47"/>
  <c r="T45" i="83"/>
  <c r="X42" i="83"/>
  <c r="Z42" i="83" s="1"/>
  <c r="H88" i="64"/>
  <c r="J85" i="64"/>
  <c r="H36" i="17"/>
  <c r="N36" i="17" s="1"/>
  <c r="N31" i="17"/>
  <c r="P69" i="48"/>
  <c r="X66" i="48"/>
  <c r="R66" i="48"/>
  <c r="P73" i="86"/>
  <c r="X70" i="86"/>
  <c r="X31" i="38"/>
  <c r="P36" i="38"/>
  <c r="X36" i="38" s="1"/>
  <c r="D85" i="64"/>
  <c r="L81" i="64"/>
  <c r="N81" i="64" s="1"/>
  <c r="F81" i="64"/>
  <c r="X149" i="30"/>
  <c r="P153" i="30"/>
  <c r="R149" i="30"/>
  <c r="N39" i="82"/>
  <c r="H51" i="61"/>
  <c r="L48" i="61"/>
  <c r="N48" i="61" s="1"/>
  <c r="H36" i="13"/>
  <c r="N36" i="13" s="1"/>
  <c r="N31" i="13"/>
  <c r="D36" i="10"/>
  <c r="L31" i="10"/>
  <c r="L31" i="98"/>
  <c r="D36" i="98"/>
  <c r="T27" i="87"/>
  <c r="V23" i="87"/>
  <c r="X23" i="87"/>
  <c r="Z23" i="87" s="1"/>
  <c r="L104" i="62"/>
  <c r="D138" i="69"/>
  <c r="L134" i="69"/>
  <c r="N134" i="69" s="1"/>
  <c r="F134" i="69"/>
  <c r="P85" i="64"/>
  <c r="X81" i="64"/>
  <c r="Z81" i="64" s="1"/>
  <c r="R81" i="64"/>
  <c r="T83" i="79"/>
  <c r="N46" i="90"/>
  <c r="H50" i="90"/>
  <c r="L46" i="90"/>
  <c r="L69" i="97"/>
  <c r="N69" i="97" s="1"/>
  <c r="F69" i="97"/>
  <c r="X29" i="75"/>
  <c r="Z29" i="75" s="1"/>
  <c r="X98" i="42"/>
  <c r="P102" i="42"/>
  <c r="R98" i="42"/>
  <c r="N110" i="66"/>
  <c r="H114" i="66"/>
  <c r="J110" i="66"/>
  <c r="P36" i="14"/>
  <c r="X31" i="14"/>
  <c r="T36" i="47"/>
  <c r="Z36" i="47" s="1"/>
  <c r="Z31" i="47"/>
  <c r="X79" i="79"/>
  <c r="Z79" i="79" s="1"/>
  <c r="X28" i="93"/>
  <c r="P31" i="93"/>
  <c r="X31" i="93" s="1"/>
  <c r="D55" i="67"/>
  <c r="L52" i="67"/>
  <c r="D36" i="100"/>
  <c r="L36" i="100" s="1"/>
  <c r="L31" i="100"/>
  <c r="H66" i="48"/>
  <c r="N62" i="48"/>
  <c r="J62" i="48"/>
  <c r="P36" i="10"/>
  <c r="X31" i="10"/>
  <c r="P31" i="54"/>
  <c r="X26" i="54"/>
  <c r="F77" i="76"/>
  <c r="P36" i="28"/>
  <c r="X31" i="28"/>
  <c r="H36" i="34"/>
  <c r="N36" i="34" s="1"/>
  <c r="N31" i="34"/>
  <c r="Z66" i="48"/>
  <c r="T69" i="48"/>
  <c r="V66" i="48"/>
  <c r="N37" i="55"/>
  <c r="P39" i="80"/>
  <c r="X39" i="80" s="1"/>
  <c r="Z39" i="80" s="1"/>
  <c r="X36" i="80"/>
  <c r="Z36" i="80" s="1"/>
  <c r="D36" i="25"/>
  <c r="L36" i="25" s="1"/>
  <c r="L31" i="25"/>
  <c r="T66" i="57"/>
  <c r="T226" i="12"/>
  <c r="V222" i="12"/>
  <c r="H86" i="79"/>
  <c r="T36" i="4"/>
  <c r="Z36" i="4" s="1"/>
  <c r="Z31" i="4"/>
  <c r="D35" i="78"/>
  <c r="L32" i="78"/>
  <c r="N32" i="78" s="1"/>
  <c r="F32" i="78"/>
  <c r="P113" i="36"/>
  <c r="X109" i="36"/>
  <c r="Z109" i="36" s="1"/>
  <c r="R109" i="36"/>
  <c r="D37" i="55"/>
  <c r="L37" i="55" s="1"/>
  <c r="L34" i="55"/>
  <c r="N34" i="55" s="1"/>
  <c r="P36" i="53"/>
  <c r="X31" i="53"/>
  <c r="T31" i="93"/>
  <c r="Z28" i="93"/>
  <c r="H36" i="14"/>
  <c r="N36" i="14" s="1"/>
  <c r="N31" i="14"/>
  <c r="P36" i="5"/>
  <c r="X31" i="5"/>
  <c r="T113" i="36"/>
  <c r="V109" i="36"/>
  <c r="D106" i="77"/>
  <c r="L102" i="77"/>
  <c r="N102" i="77" s="1"/>
  <c r="F102" i="77"/>
  <c r="H36" i="16"/>
  <c r="N36" i="16" s="1"/>
  <c r="N31" i="16"/>
  <c r="T51" i="74"/>
  <c r="Z48" i="74"/>
  <c r="X63" i="57"/>
  <c r="Z63" i="57" s="1"/>
  <c r="X31" i="29"/>
  <c r="D69" i="48"/>
  <c r="L66" i="48"/>
  <c r="F66" i="48"/>
  <c r="D84" i="92"/>
  <c r="L81" i="92"/>
  <c r="F81" i="92"/>
  <c r="N31" i="31"/>
  <c r="H36" i="31"/>
  <c r="N36" i="31" s="1"/>
  <c r="T86" i="33"/>
  <c r="V83" i="33"/>
  <c r="T36" i="8"/>
  <c r="Z36" i="8" s="1"/>
  <c r="Z31" i="8"/>
  <c r="H99" i="71"/>
  <c r="L99" i="71" s="1"/>
  <c r="J95" i="71"/>
  <c r="Z70" i="86"/>
  <c r="T73" i="86"/>
  <c r="T36" i="26"/>
  <c r="Z31" i="26"/>
  <c r="X31" i="26"/>
  <c r="P53" i="90"/>
  <c r="R50" i="90"/>
  <c r="T260" i="3"/>
  <c r="V256" i="3"/>
  <c r="P36" i="47"/>
  <c r="X31" i="47"/>
  <c r="P36" i="40"/>
  <c r="X31" i="40"/>
  <c r="Z31" i="99"/>
  <c r="T36" i="99"/>
  <c r="Z36" i="99" s="1"/>
  <c r="H31" i="96"/>
  <c r="L31" i="96" s="1"/>
  <c r="N28" i="96"/>
  <c r="D36" i="41"/>
  <c r="L36" i="41" s="1"/>
  <c r="L31" i="41"/>
  <c r="N37" i="89"/>
  <c r="Z31" i="10"/>
  <c r="T36" i="10"/>
  <c r="Z36" i="10" s="1"/>
  <c r="T36" i="98"/>
  <c r="Z36" i="98" s="1"/>
  <c r="Z31" i="98"/>
  <c r="H36" i="28"/>
  <c r="N36" i="28" s="1"/>
  <c r="N31" i="28"/>
  <c r="T84" i="92"/>
  <c r="V81" i="92"/>
  <c r="P36" i="35"/>
  <c r="X36" i="35" s="1"/>
  <c r="X31" i="35"/>
  <c r="L31" i="93"/>
  <c r="H111" i="39"/>
  <c r="J107" i="39"/>
  <c r="P36" i="25"/>
  <c r="X36" i="25" s="1"/>
  <c r="X31" i="25"/>
  <c r="H55" i="67"/>
  <c r="N52" i="67"/>
  <c r="D86" i="79"/>
  <c r="L83" i="79"/>
  <c r="N83" i="79" s="1"/>
  <c r="F83" i="79"/>
  <c r="P242" i="18"/>
  <c r="X238" i="18"/>
  <c r="Z238" i="18" s="1"/>
  <c r="R238" i="18"/>
  <c r="T99" i="51"/>
  <c r="V95" i="51"/>
  <c r="D36" i="31"/>
  <c r="L31" i="31"/>
  <c r="T106" i="77"/>
  <c r="V102" i="77"/>
  <c r="D36" i="7"/>
  <c r="L31" i="7"/>
  <c r="N31" i="37"/>
  <c r="H36" i="37"/>
  <c r="N36" i="37" s="1"/>
  <c r="D229" i="12"/>
  <c r="F226" i="12"/>
  <c r="H83" i="33"/>
  <c r="J79" i="33"/>
  <c r="H36" i="19"/>
  <c r="N36" i="19" s="1"/>
  <c r="N31" i="19"/>
  <c r="P80" i="70"/>
  <c r="X76" i="70"/>
  <c r="Z76" i="70" s="1"/>
  <c r="R76" i="70"/>
  <c r="D36" i="5"/>
  <c r="L31" i="5"/>
  <c r="T36" i="100"/>
  <c r="Z36" i="100" s="1"/>
  <c r="Z31" i="100"/>
  <c r="D67" i="56"/>
  <c r="L64" i="56"/>
  <c r="N95" i="51"/>
  <c r="H99" i="51"/>
  <c r="J95" i="51"/>
  <c r="N31" i="26"/>
  <c r="H36" i="26"/>
  <c r="N36" i="26" s="1"/>
  <c r="T37" i="55"/>
  <c r="T111" i="39"/>
  <c r="Z107" i="39"/>
  <c r="V107" i="39"/>
  <c r="D66" i="57"/>
  <c r="L63" i="57"/>
  <c r="D116" i="36"/>
  <c r="L113" i="36"/>
  <c r="N113" i="36" s="1"/>
  <c r="F113" i="36"/>
  <c r="D68" i="73"/>
  <c r="L64" i="73"/>
  <c r="N64" i="73" s="1"/>
  <c r="X54" i="59"/>
  <c r="Z54" i="59" s="1"/>
  <c r="T78" i="81"/>
  <c r="X78" i="81" s="1"/>
  <c r="Z75" i="81"/>
  <c r="F93" i="24"/>
  <c r="X66" i="57"/>
  <c r="H31" i="93"/>
  <c r="N28" i="93"/>
  <c r="T36" i="11"/>
  <c r="Z36" i="11" s="1"/>
  <c r="Z31" i="11"/>
  <c r="L31" i="17"/>
  <c r="H116" i="36"/>
  <c r="J113" i="36"/>
  <c r="H36" i="46"/>
  <c r="N36" i="46" s="1"/>
  <c r="N31" i="46"/>
  <c r="X86" i="24"/>
  <c r="Z86" i="24" s="1"/>
  <c r="P90" i="24"/>
  <c r="R86" i="24"/>
  <c r="H260" i="3"/>
  <c r="N256" i="3"/>
  <c r="J256" i="3"/>
  <c r="D114" i="66"/>
  <c r="L110" i="66"/>
  <c r="F110" i="66"/>
  <c r="N31" i="98"/>
  <c r="H36" i="98"/>
  <c r="N36" i="98" s="1"/>
  <c r="Z31" i="14"/>
  <c r="T36" i="14"/>
  <c r="Z36" i="14" s="1"/>
  <c r="T31" i="96"/>
  <c r="Z28" i="96"/>
  <c r="P111" i="39"/>
  <c r="X107" i="39"/>
  <c r="R107" i="39"/>
  <c r="D36" i="34"/>
  <c r="L31" i="34"/>
  <c r="D86" i="21"/>
  <c r="L82" i="21"/>
  <c r="N82" i="21" s="1"/>
  <c r="F82" i="21"/>
  <c r="X68" i="73"/>
  <c r="Z68" i="73" s="1"/>
  <c r="P71" i="73"/>
  <c r="H31" i="54"/>
  <c r="N26" i="54"/>
  <c r="P37" i="89"/>
  <c r="X37" i="89" s="1"/>
  <c r="Z37" i="89" s="1"/>
  <c r="X34" i="89"/>
  <c r="Z34" i="89" s="1"/>
  <c r="H36" i="29"/>
  <c r="N36" i="29" s="1"/>
  <c r="N31" i="29"/>
  <c r="D86" i="85"/>
  <c r="L83" i="85"/>
  <c r="F83" i="85"/>
  <c r="T36" i="19"/>
  <c r="Z36" i="19" s="1"/>
  <c r="Z31" i="19"/>
  <c r="N222" i="12"/>
  <c r="H226" i="12"/>
  <c r="J222" i="12"/>
  <c r="T36" i="23"/>
  <c r="Z36" i="23" s="1"/>
  <c r="Z31" i="23"/>
  <c r="P77" i="76"/>
  <c r="X74" i="76"/>
  <c r="Z74" i="76" s="1"/>
  <c r="R74" i="76"/>
  <c r="H36" i="4"/>
  <c r="N36" i="4" s="1"/>
  <c r="N31" i="4"/>
  <c r="T104" i="62"/>
  <c r="Z101" i="62"/>
  <c r="F53" i="90"/>
  <c r="N36" i="65"/>
  <c r="H39" i="65"/>
  <c r="L36" i="65"/>
  <c r="T53" i="91"/>
  <c r="D45" i="83"/>
  <c r="L45" i="83" s="1"/>
  <c r="L42" i="83"/>
  <c r="X57" i="59"/>
  <c r="X31" i="34"/>
  <c r="P36" i="34"/>
  <c r="D36" i="44"/>
  <c r="L31" i="44"/>
  <c r="L23" i="87"/>
  <c r="P36" i="31"/>
  <c r="X31" i="31"/>
  <c r="L92" i="45"/>
  <c r="D95" i="45"/>
  <c r="F92" i="45"/>
  <c r="N81" i="92"/>
  <c r="H84" i="92"/>
  <c r="J81" i="92"/>
  <c r="N31" i="99"/>
  <c r="H36" i="99"/>
  <c r="N36" i="99" s="1"/>
  <c r="P95" i="45"/>
  <c r="X92" i="45"/>
  <c r="R92" i="45"/>
  <c r="H73" i="86"/>
  <c r="N70" i="86"/>
  <c r="H36" i="40"/>
  <c r="N36" i="40" s="1"/>
  <c r="N31" i="40"/>
  <c r="H36" i="44"/>
  <c r="N36" i="44" s="1"/>
  <c r="N31" i="44"/>
  <c r="L85" i="94"/>
  <c r="F85" i="94"/>
  <c r="H36" i="10"/>
  <c r="N36" i="10" s="1"/>
  <c r="N31" i="10"/>
  <c r="D218" i="15"/>
  <c r="L214" i="15"/>
  <c r="F214" i="15"/>
  <c r="H67" i="56"/>
  <c r="N64" i="56"/>
  <c r="T36" i="52"/>
  <c r="Z36" i="52" s="1"/>
  <c r="Z31" i="52"/>
  <c r="T80" i="70"/>
  <c r="V76" i="70"/>
  <c r="R88" i="95"/>
  <c r="D78" i="81"/>
  <c r="L78" i="81" s="1"/>
  <c r="N78" i="81" s="1"/>
  <c r="L75" i="81"/>
  <c r="N75" i="81" s="1"/>
  <c r="D36" i="40"/>
  <c r="L31" i="40"/>
  <c r="P218" i="15"/>
  <c r="X214" i="15"/>
  <c r="R214" i="15"/>
  <c r="P36" i="49"/>
  <c r="X31" i="49"/>
  <c r="X41" i="84"/>
  <c r="H83" i="85"/>
  <c r="N79" i="85"/>
  <c r="J79" i="85"/>
  <c r="P36" i="17"/>
  <c r="X31" i="17"/>
  <c r="X256" i="3"/>
  <c r="Z256" i="3" s="1"/>
  <c r="D36" i="23"/>
  <c r="L31" i="23"/>
  <c r="D53" i="91"/>
  <c r="L53" i="91" s="1"/>
  <c r="N53" i="91" s="1"/>
  <c r="L50" i="91"/>
  <c r="N50" i="91" s="1"/>
  <c r="H85" i="95"/>
  <c r="N81" i="95"/>
  <c r="J81" i="95"/>
  <c r="X91" i="9"/>
  <c r="Z91" i="9" s="1"/>
  <c r="P94" i="9"/>
  <c r="D36" i="35"/>
  <c r="L31" i="35"/>
  <c r="T69" i="97"/>
  <c r="V66" i="97"/>
  <c r="X66" i="97"/>
  <c r="Z66" i="97" s="1"/>
  <c r="H77" i="76"/>
  <c r="N74" i="76"/>
  <c r="X26" i="6"/>
  <c r="P31" i="6"/>
  <c r="X31" i="6" s="1"/>
  <c r="X51" i="74"/>
  <c r="D153" i="30"/>
  <c r="L149" i="30"/>
  <c r="F149" i="30"/>
  <c r="H114" i="27"/>
  <c r="N110" i="27"/>
  <c r="J110" i="27"/>
  <c r="P226" i="12"/>
  <c r="X222" i="12"/>
  <c r="Z222" i="12" s="1"/>
  <c r="R222" i="12"/>
  <c r="D51" i="74"/>
  <c r="L51" i="74" s="1"/>
  <c r="L48" i="74"/>
  <c r="D30" i="87"/>
  <c r="L27" i="87"/>
  <c r="T36" i="40"/>
  <c r="Z36" i="40" s="1"/>
  <c r="Z31" i="40"/>
  <c r="P99" i="51"/>
  <c r="X95" i="51"/>
  <c r="Z95" i="51" s="1"/>
  <c r="R95" i="51"/>
  <c r="N63" i="57"/>
  <c r="H66" i="57"/>
  <c r="D111" i="39"/>
  <c r="L107" i="39"/>
  <c r="N107" i="39" s="1"/>
  <c r="F107" i="39"/>
  <c r="T36" i="34"/>
  <c r="Z36" i="34" s="1"/>
  <c r="Z31" i="34"/>
  <c r="H68" i="73"/>
  <c r="T102" i="42"/>
  <c r="Z98" i="42"/>
  <c r="V98" i="42"/>
  <c r="T218" i="15"/>
  <c r="Z214" i="15"/>
  <c r="V214" i="15"/>
  <c r="X77" i="92"/>
  <c r="Z77" i="92" s="1"/>
  <c r="P81" i="92"/>
  <c r="R77" i="92"/>
  <c r="T52" i="67"/>
  <c r="Z48" i="67"/>
  <c r="N31" i="6"/>
  <c r="T36" i="49"/>
  <c r="Z36" i="49" s="1"/>
  <c r="Z31" i="49"/>
  <c r="D36" i="14"/>
  <c r="L31" i="14"/>
  <c r="T36" i="5"/>
  <c r="Z36" i="5" s="1"/>
  <c r="Z31" i="5"/>
  <c r="N31" i="23"/>
  <c r="H36" i="23"/>
  <c r="N36" i="23" s="1"/>
  <c r="P36" i="19"/>
  <c r="X31" i="19"/>
  <c r="D83" i="33"/>
  <c r="L79" i="33"/>
  <c r="N79" i="33" s="1"/>
  <c r="F79" i="33"/>
  <c r="N214" i="15"/>
  <c r="H218" i="15"/>
  <c r="J214" i="15"/>
  <c r="D105" i="42"/>
  <c r="F102" i="42"/>
  <c r="P265" i="3"/>
  <c r="R260" i="3"/>
  <c r="Z31" i="44"/>
  <c r="T36" i="44"/>
  <c r="X31" i="44"/>
  <c r="D36" i="52"/>
  <c r="L31" i="52"/>
  <c r="H102" i="42"/>
  <c r="N98" i="42"/>
  <c r="J98" i="42"/>
  <c r="T41" i="84"/>
  <c r="Z38" i="84"/>
  <c r="V38" i="84"/>
  <c r="H51" i="74"/>
  <c r="N48" i="74"/>
  <c r="H138" i="69"/>
  <c r="J134" i="69"/>
  <c r="H80" i="70"/>
  <c r="J76" i="70"/>
  <c r="H242" i="18"/>
  <c r="N238" i="18"/>
  <c r="J238" i="18"/>
  <c r="P39" i="82"/>
  <c r="X39" i="82" s="1"/>
  <c r="X36" i="82"/>
  <c r="Z36" i="82" s="1"/>
  <c r="T36" i="41"/>
  <c r="Z36" i="41" s="1"/>
  <c r="Z31" i="41"/>
  <c r="D36" i="26"/>
  <c r="L31" i="26"/>
  <c r="T99" i="71"/>
  <c r="V95" i="71"/>
  <c r="T77" i="76"/>
  <c r="T138" i="69"/>
  <c r="Z134" i="69"/>
  <c r="V134" i="69"/>
  <c r="D80" i="70"/>
  <c r="L76" i="70"/>
  <c r="N76" i="70" s="1"/>
  <c r="F76" i="70"/>
  <c r="N36" i="88"/>
  <c r="H39" i="88"/>
  <c r="P106" i="77"/>
  <c r="X102" i="77"/>
  <c r="Z102" i="77" s="1"/>
  <c r="R102" i="77"/>
  <c r="D36" i="37"/>
  <c r="L31" i="37"/>
  <c r="T86" i="85"/>
  <c r="V83" i="85"/>
  <c r="P36" i="46"/>
  <c r="X36" i="46" s="1"/>
  <c r="X31" i="46"/>
  <c r="N39" i="80"/>
  <c r="X36" i="13"/>
  <c r="D36" i="19"/>
  <c r="L31" i="19"/>
  <c r="N31" i="52"/>
  <c r="H36" i="52"/>
  <c r="N36" i="52" s="1"/>
  <c r="D37" i="89"/>
  <c r="L37" i="89" s="1"/>
  <c r="L34" i="89"/>
  <c r="N34" i="89" s="1"/>
  <c r="H94" i="9"/>
  <c r="N91" i="9"/>
  <c r="P36" i="32"/>
  <c r="X36" i="32" s="1"/>
  <c r="X31" i="32"/>
  <c r="Z31" i="31"/>
  <c r="T36" i="31"/>
  <c r="Z36" i="31" s="1"/>
  <c r="X82" i="21"/>
  <c r="Z82" i="21" s="1"/>
  <c r="N31" i="50"/>
  <c r="H36" i="50"/>
  <c r="N36" i="50" s="1"/>
  <c r="P35" i="78"/>
  <c r="R32" i="78"/>
  <c r="P53" i="91"/>
  <c r="X53" i="91" s="1"/>
  <c r="X50" i="91"/>
  <c r="Z50" i="91" s="1"/>
  <c r="Z92" i="45"/>
  <c r="T95" i="45"/>
  <c r="V92" i="45"/>
  <c r="D41" i="84"/>
  <c r="L38" i="84"/>
  <c r="H153" i="30"/>
  <c r="N149" i="30"/>
  <c r="J149" i="30"/>
  <c r="T50" i="90"/>
  <c r="X50" i="90" s="1"/>
  <c r="Z46" i="90"/>
  <c r="H36" i="8"/>
  <c r="N36" i="8" s="1"/>
  <c r="N31" i="8"/>
  <c r="H106" i="77"/>
  <c r="J102" i="77"/>
  <c r="X68" i="58"/>
  <c r="Z68" i="58" s="1"/>
  <c r="P71" i="58"/>
  <c r="X71" i="58" s="1"/>
  <c r="Z71" i="58" s="1"/>
  <c r="T94" i="9"/>
  <c r="J69" i="97"/>
  <c r="T242" i="18"/>
  <c r="V238" i="18"/>
  <c r="T114" i="66"/>
  <c r="Z110" i="66"/>
  <c r="V110" i="66"/>
  <c r="P89" i="21"/>
  <c r="X86" i="21"/>
  <c r="R86" i="21"/>
  <c r="D36" i="20"/>
  <c r="L36" i="20" s="1"/>
  <c r="L31" i="20"/>
  <c r="D36" i="16"/>
  <c r="L31" i="16"/>
  <c r="T85" i="95"/>
  <c r="X81" i="95"/>
  <c r="Z81" i="95" s="1"/>
  <c r="T31" i="54"/>
  <c r="Z26" i="54"/>
  <c r="P36" i="20"/>
  <c r="X36" i="20" s="1"/>
  <c r="X31" i="20"/>
  <c r="Z39" i="88"/>
  <c r="Z31" i="28"/>
  <c r="T36" i="28"/>
  <c r="Z36" i="28" s="1"/>
  <c r="L39" i="88"/>
  <c r="H92" i="45"/>
  <c r="N88" i="45"/>
  <c r="J88" i="45"/>
  <c r="T36" i="37"/>
  <c r="Z31" i="37"/>
  <c r="X31" i="37"/>
  <c r="L95" i="71"/>
  <c r="N95" i="71" s="1"/>
  <c r="T32" i="78"/>
  <c r="Z28" i="78"/>
  <c r="V28" i="78"/>
  <c r="D242" i="18"/>
  <c r="L238" i="18"/>
  <c r="F238" i="18"/>
  <c r="Z39" i="82"/>
  <c r="L31" i="99"/>
  <c r="D36" i="99"/>
  <c r="P83" i="33"/>
  <c r="X79" i="33"/>
  <c r="Z79" i="33" s="1"/>
  <c r="R79" i="33"/>
  <c r="X31" i="8"/>
  <c r="P36" i="8"/>
  <c r="L71" i="58"/>
  <c r="N71" i="58" s="1"/>
  <c r="T153" i="30"/>
  <c r="Z149" i="30"/>
  <c r="V149" i="30"/>
  <c r="H45" i="83"/>
  <c r="N42" i="83"/>
  <c r="X31" i="98"/>
  <c r="H90" i="24"/>
  <c r="N86" i="24"/>
  <c r="J86" i="24"/>
  <c r="L86" i="24"/>
  <c r="P99" i="71"/>
  <c r="X95" i="71"/>
  <c r="Z95" i="71" s="1"/>
  <c r="R95" i="71"/>
  <c r="P36" i="22"/>
  <c r="X36" i="22" s="1"/>
  <c r="X31" i="22"/>
  <c r="P52" i="60"/>
  <c r="X52" i="60" s="1"/>
  <c r="Z52" i="60" s="1"/>
  <c r="X49" i="60"/>
  <c r="Z49" i="60" s="1"/>
  <c r="H85" i="94"/>
  <c r="N82" i="94"/>
  <c r="J82" i="94"/>
  <c r="H52" i="60"/>
  <c r="N49" i="60"/>
  <c r="L36" i="26" l="1"/>
  <c r="L36" i="99"/>
  <c r="L36" i="16"/>
  <c r="X36" i="98"/>
  <c r="L36" i="17"/>
  <c r="L36" i="38"/>
  <c r="X36" i="17"/>
  <c r="L36" i="40"/>
  <c r="X36" i="8"/>
  <c r="L36" i="5"/>
  <c r="L36" i="13"/>
  <c r="L36" i="22"/>
  <c r="L36" i="37"/>
  <c r="X36" i="49"/>
  <c r="X36" i="19"/>
  <c r="L36" i="35"/>
  <c r="L36" i="50"/>
  <c r="X36" i="10"/>
  <c r="L36" i="46"/>
  <c r="L36" i="44"/>
  <c r="L36" i="10"/>
  <c r="X36" i="40"/>
  <c r="X36" i="28"/>
  <c r="X36" i="47"/>
  <c r="X36" i="31"/>
  <c r="X36" i="52"/>
  <c r="L36" i="98"/>
  <c r="L36" i="31"/>
  <c r="V95" i="45"/>
  <c r="T102" i="71"/>
  <c r="V99" i="71"/>
  <c r="T55" i="67"/>
  <c r="D117" i="66"/>
  <c r="L114" i="66"/>
  <c r="F114" i="66"/>
  <c r="Z36" i="37"/>
  <c r="X36" i="37"/>
  <c r="X99" i="71"/>
  <c r="Z99" i="71" s="1"/>
  <c r="P102" i="71"/>
  <c r="R99" i="71"/>
  <c r="P102" i="51"/>
  <c r="X99" i="51"/>
  <c r="R99" i="51"/>
  <c r="J116" i="36"/>
  <c r="T265" i="3"/>
  <c r="Z260" i="3"/>
  <c r="V260" i="3"/>
  <c r="T86" i="79"/>
  <c r="Z83" i="79"/>
  <c r="N85" i="94"/>
  <c r="J85" i="94"/>
  <c r="T35" i="78"/>
  <c r="V32" i="78"/>
  <c r="T117" i="66"/>
  <c r="V114" i="66"/>
  <c r="L41" i="84"/>
  <c r="X32" i="78"/>
  <c r="Z32" i="78" s="1"/>
  <c r="L36" i="19"/>
  <c r="X260" i="3"/>
  <c r="X36" i="41"/>
  <c r="T221" i="15"/>
  <c r="Z218" i="15"/>
  <c r="V218" i="15"/>
  <c r="X226" i="12"/>
  <c r="P229" i="12"/>
  <c r="R226" i="12"/>
  <c r="X218" i="15"/>
  <c r="P221" i="15"/>
  <c r="R218" i="15"/>
  <c r="X36" i="34"/>
  <c r="H229" i="12"/>
  <c r="N226" i="12"/>
  <c r="J226" i="12"/>
  <c r="X71" i="73"/>
  <c r="D71" i="73"/>
  <c r="L68" i="73"/>
  <c r="T114" i="39"/>
  <c r="Z111" i="39"/>
  <c r="V111" i="39"/>
  <c r="X80" i="70"/>
  <c r="P83" i="70"/>
  <c r="R80" i="70"/>
  <c r="L226" i="12"/>
  <c r="T109" i="77"/>
  <c r="V106" i="77"/>
  <c r="P245" i="18"/>
  <c r="X242" i="18"/>
  <c r="R242" i="18"/>
  <c r="V86" i="33"/>
  <c r="F69" i="48"/>
  <c r="X36" i="5"/>
  <c r="Z66" i="57"/>
  <c r="X31" i="54"/>
  <c r="Z31" i="54" s="1"/>
  <c r="J88" i="64"/>
  <c r="X31" i="96"/>
  <c r="T85" i="94"/>
  <c r="V82" i="94"/>
  <c r="F88" i="95"/>
  <c r="X36" i="100"/>
  <c r="X37" i="55"/>
  <c r="R36" i="75"/>
  <c r="X82" i="94"/>
  <c r="Z82" i="94" s="1"/>
  <c r="P85" i="94"/>
  <c r="R82" i="94"/>
  <c r="H30" i="87"/>
  <c r="N27" i="87"/>
  <c r="J27" i="87"/>
  <c r="L36" i="8"/>
  <c r="P86" i="33"/>
  <c r="X83" i="33"/>
  <c r="Z83" i="33" s="1"/>
  <c r="R83" i="33"/>
  <c r="H95" i="45"/>
  <c r="N92" i="45"/>
  <c r="J92" i="45"/>
  <c r="R35" i="78"/>
  <c r="V86" i="85"/>
  <c r="Z73" i="86"/>
  <c r="T156" i="30"/>
  <c r="V153" i="30"/>
  <c r="H141" i="69"/>
  <c r="J138" i="69"/>
  <c r="H105" i="42"/>
  <c r="J102" i="42"/>
  <c r="X265" i="3"/>
  <c r="R265" i="3"/>
  <c r="N83" i="85"/>
  <c r="H86" i="85"/>
  <c r="J83" i="85"/>
  <c r="Z80" i="70"/>
  <c r="T83" i="70"/>
  <c r="V80" i="70"/>
  <c r="D221" i="15"/>
  <c r="L218" i="15"/>
  <c r="F218" i="15"/>
  <c r="L95" i="45"/>
  <c r="F95" i="45"/>
  <c r="L39" i="65"/>
  <c r="N39" i="65" s="1"/>
  <c r="P114" i="39"/>
  <c r="X111" i="39"/>
  <c r="R111" i="39"/>
  <c r="P93" i="24"/>
  <c r="X90" i="24"/>
  <c r="R90" i="24"/>
  <c r="L67" i="56"/>
  <c r="L229" i="12"/>
  <c r="F229" i="12"/>
  <c r="V84" i="92"/>
  <c r="L55" i="67"/>
  <c r="X36" i="14"/>
  <c r="X36" i="4"/>
  <c r="N104" i="62"/>
  <c r="L36" i="75"/>
  <c r="F36" i="75"/>
  <c r="Z67" i="56"/>
  <c r="X67" i="56"/>
  <c r="D114" i="39"/>
  <c r="L111" i="39"/>
  <c r="N111" i="39" s="1"/>
  <c r="F111" i="39"/>
  <c r="X53" i="90"/>
  <c r="R53" i="90"/>
  <c r="N99" i="71"/>
  <c r="H102" i="71"/>
  <c r="J99" i="71"/>
  <c r="P88" i="64"/>
  <c r="X85" i="64"/>
  <c r="R85" i="64"/>
  <c r="T30" i="87"/>
  <c r="V27" i="87"/>
  <c r="X27" i="87"/>
  <c r="Z27" i="87" s="1"/>
  <c r="T36" i="75"/>
  <c r="Z33" i="75"/>
  <c r="V33" i="75"/>
  <c r="Z85" i="64"/>
  <c r="T88" i="64"/>
  <c r="V85" i="64"/>
  <c r="L94" i="9"/>
  <c r="N36" i="75"/>
  <c r="J36" i="75"/>
  <c r="Z71" i="73"/>
  <c r="V71" i="73"/>
  <c r="N90" i="24"/>
  <c r="H93" i="24"/>
  <c r="J90" i="24"/>
  <c r="L90" i="24"/>
  <c r="T53" i="90"/>
  <c r="Z50" i="90"/>
  <c r="H245" i="18"/>
  <c r="J242" i="18"/>
  <c r="N51" i="74"/>
  <c r="L36" i="52"/>
  <c r="L102" i="42"/>
  <c r="N102" i="42" s="1"/>
  <c r="T105" i="42"/>
  <c r="V102" i="42"/>
  <c r="L30" i="87"/>
  <c r="H117" i="27"/>
  <c r="J114" i="27"/>
  <c r="X94" i="9"/>
  <c r="L36" i="23"/>
  <c r="X77" i="76"/>
  <c r="R77" i="76"/>
  <c r="Z31" i="96"/>
  <c r="X36" i="29"/>
  <c r="L116" i="36"/>
  <c r="N116" i="36" s="1"/>
  <c r="F116" i="36"/>
  <c r="L86" i="79"/>
  <c r="N86" i="79" s="1"/>
  <c r="F86" i="79"/>
  <c r="L36" i="32"/>
  <c r="D109" i="77"/>
  <c r="L106" i="77"/>
  <c r="F106" i="77"/>
  <c r="P116" i="36"/>
  <c r="X113" i="36"/>
  <c r="R113" i="36"/>
  <c r="H117" i="66"/>
  <c r="N114" i="66"/>
  <c r="J114" i="66"/>
  <c r="L85" i="64"/>
  <c r="N85" i="64" s="1"/>
  <c r="D88" i="64"/>
  <c r="F85" i="64"/>
  <c r="Z45" i="83"/>
  <c r="X45" i="83"/>
  <c r="X86" i="79"/>
  <c r="R86" i="79"/>
  <c r="L36" i="4"/>
  <c r="Z37" i="55"/>
  <c r="D86" i="33"/>
  <c r="L83" i="33"/>
  <c r="F83" i="33"/>
  <c r="H71" i="73"/>
  <c r="N68" i="73"/>
  <c r="X36" i="11"/>
  <c r="T102" i="51"/>
  <c r="Z99" i="51"/>
  <c r="V99" i="51"/>
  <c r="Z31" i="93"/>
  <c r="N50" i="90"/>
  <c r="H53" i="90"/>
  <c r="L50" i="90"/>
  <c r="N51" i="61"/>
  <c r="L51" i="61"/>
  <c r="X69" i="48"/>
  <c r="R69" i="48"/>
  <c r="Z57" i="59"/>
  <c r="N38" i="84"/>
  <c r="H41" i="84"/>
  <c r="X36" i="99"/>
  <c r="D83" i="70"/>
  <c r="L80" i="70"/>
  <c r="F80" i="70"/>
  <c r="L36" i="14"/>
  <c r="D245" i="18"/>
  <c r="L242" i="18"/>
  <c r="N242" i="18" s="1"/>
  <c r="F242" i="18"/>
  <c r="T88" i="95"/>
  <c r="X85" i="95"/>
  <c r="Z85" i="95" s="1"/>
  <c r="P109" i="77"/>
  <c r="X106" i="77"/>
  <c r="Z106" i="77" s="1"/>
  <c r="R106" i="77"/>
  <c r="T141" i="69"/>
  <c r="V138" i="69"/>
  <c r="H83" i="70"/>
  <c r="N80" i="70"/>
  <c r="J80" i="70"/>
  <c r="Z36" i="44"/>
  <c r="X36" i="44"/>
  <c r="N260" i="3"/>
  <c r="H265" i="3"/>
  <c r="J260" i="3"/>
  <c r="N31" i="93"/>
  <c r="L66" i="57"/>
  <c r="N66" i="57" s="1"/>
  <c r="L36" i="7"/>
  <c r="N55" i="67"/>
  <c r="L84" i="92"/>
  <c r="F84" i="92"/>
  <c r="Z226" i="12"/>
  <c r="T229" i="12"/>
  <c r="V226" i="12"/>
  <c r="N66" i="48"/>
  <c r="H69" i="48"/>
  <c r="L69" i="48" s="1"/>
  <c r="J66" i="48"/>
  <c r="D141" i="69"/>
  <c r="L138" i="69"/>
  <c r="N138" i="69" s="1"/>
  <c r="F138" i="69"/>
  <c r="L57" i="59"/>
  <c r="V117" i="27"/>
  <c r="F102" i="51"/>
  <c r="X86" i="85"/>
  <c r="Z86" i="85" s="1"/>
  <c r="R86" i="85"/>
  <c r="L260" i="3"/>
  <c r="P55" i="67"/>
  <c r="X55" i="67" s="1"/>
  <c r="X52" i="67"/>
  <c r="Z52" i="67" s="1"/>
  <c r="L36" i="28"/>
  <c r="X36" i="23"/>
  <c r="T93" i="24"/>
  <c r="Z90" i="24"/>
  <c r="V90" i="24"/>
  <c r="T89" i="21"/>
  <c r="Z86" i="21"/>
  <c r="V86" i="21"/>
  <c r="N94" i="9"/>
  <c r="X95" i="45"/>
  <c r="Z95" i="45" s="1"/>
  <c r="R95" i="45"/>
  <c r="H114" i="39"/>
  <c r="J111" i="39"/>
  <c r="Z242" i="18"/>
  <c r="T245" i="18"/>
  <c r="V242" i="18"/>
  <c r="L105" i="42"/>
  <c r="F105" i="42"/>
  <c r="P84" i="92"/>
  <c r="X81" i="92"/>
  <c r="Z81" i="92" s="1"/>
  <c r="R81" i="92"/>
  <c r="D89" i="21"/>
  <c r="L86" i="21"/>
  <c r="N86" i="21" s="1"/>
  <c r="F86" i="21"/>
  <c r="Z78" i="81"/>
  <c r="X89" i="21"/>
  <c r="R89" i="21"/>
  <c r="N45" i="83"/>
  <c r="H109" i="77"/>
  <c r="N106" i="77"/>
  <c r="J106" i="77"/>
  <c r="H156" i="30"/>
  <c r="N153" i="30"/>
  <c r="J153" i="30"/>
  <c r="N39" i="88"/>
  <c r="Z77" i="76"/>
  <c r="Z41" i="84"/>
  <c r="V41" i="84"/>
  <c r="H221" i="15"/>
  <c r="N218" i="15"/>
  <c r="J218" i="15"/>
  <c r="D156" i="30"/>
  <c r="L153" i="30"/>
  <c r="F153" i="30"/>
  <c r="V69" i="97"/>
  <c r="X69" i="97"/>
  <c r="Z69" i="97" s="1"/>
  <c r="N67" i="56"/>
  <c r="L73" i="86"/>
  <c r="N73" i="86" s="1"/>
  <c r="N84" i="92"/>
  <c r="J84" i="92"/>
  <c r="Z53" i="91"/>
  <c r="Z104" i="62"/>
  <c r="L86" i="85"/>
  <c r="F86" i="85"/>
  <c r="L36" i="34"/>
  <c r="H102" i="51"/>
  <c r="L102" i="51" s="1"/>
  <c r="N99" i="51"/>
  <c r="J99" i="51"/>
  <c r="H86" i="33"/>
  <c r="N83" i="33"/>
  <c r="J83" i="33"/>
  <c r="N31" i="96"/>
  <c r="Z36" i="26"/>
  <c r="X36" i="26"/>
  <c r="Z51" i="74"/>
  <c r="T116" i="36"/>
  <c r="Z113" i="36"/>
  <c r="V113" i="36"/>
  <c r="X36" i="53"/>
  <c r="L77" i="76"/>
  <c r="N77" i="76" s="1"/>
  <c r="P105" i="42"/>
  <c r="X102" i="42"/>
  <c r="Z102" i="42" s="1"/>
  <c r="R102" i="42"/>
  <c r="L36" i="29"/>
  <c r="L36" i="47"/>
  <c r="L265" i="3"/>
  <c r="F265" i="3"/>
  <c r="P141" i="69"/>
  <c r="X138" i="69"/>
  <c r="Z138" i="69" s="1"/>
  <c r="R138" i="69"/>
  <c r="P117" i="27"/>
  <c r="X114" i="27"/>
  <c r="Z114" i="27" s="1"/>
  <c r="R114" i="27"/>
  <c r="L52" i="60"/>
  <c r="N52" i="60" s="1"/>
  <c r="P117" i="66"/>
  <c r="X114" i="66"/>
  <c r="Z114" i="66" s="1"/>
  <c r="R114" i="66"/>
  <c r="Z94" i="9"/>
  <c r="H88" i="95"/>
  <c r="J85" i="95"/>
  <c r="L35" i="78"/>
  <c r="N35" i="78" s="1"/>
  <c r="F35" i="78"/>
  <c r="V69" i="48"/>
  <c r="Z69" i="48"/>
  <c r="L31" i="54"/>
  <c r="N31" i="54" s="1"/>
  <c r="P156" i="30"/>
  <c r="X153" i="30"/>
  <c r="Z153" i="30" s="1"/>
  <c r="R153" i="30"/>
  <c r="X73" i="86"/>
  <c r="D117" i="27"/>
  <c r="L114" i="27"/>
  <c r="N114" i="27" s="1"/>
  <c r="F114" i="27"/>
  <c r="N57" i="59"/>
  <c r="L85" i="95"/>
  <c r="N85" i="95" s="1"/>
  <c r="L102" i="71"/>
  <c r="F102" i="71"/>
  <c r="V116" i="36" l="1"/>
  <c r="X84" i="92"/>
  <c r="Z84" i="92" s="1"/>
  <c r="R84" i="92"/>
  <c r="J114" i="39"/>
  <c r="L141" i="69"/>
  <c r="F141" i="69"/>
  <c r="V141" i="69"/>
  <c r="J117" i="66"/>
  <c r="L221" i="15"/>
  <c r="F221" i="15"/>
  <c r="N30" i="87"/>
  <c r="J30" i="87"/>
  <c r="V83" i="70"/>
  <c r="J88" i="95"/>
  <c r="X117" i="27"/>
  <c r="Z117" i="27" s="1"/>
  <c r="R117" i="27"/>
  <c r="L156" i="30"/>
  <c r="F156" i="30"/>
  <c r="V93" i="24"/>
  <c r="N41" i="84"/>
  <c r="L53" i="90"/>
  <c r="N53" i="90" s="1"/>
  <c r="N71" i="73"/>
  <c r="N245" i="18"/>
  <c r="J245" i="18"/>
  <c r="X114" i="39"/>
  <c r="R114" i="39"/>
  <c r="V156" i="30"/>
  <c r="N95" i="45"/>
  <c r="J95" i="45"/>
  <c r="L88" i="95"/>
  <c r="N88" i="95" s="1"/>
  <c r="X245" i="18"/>
  <c r="R245" i="18"/>
  <c r="N229" i="12"/>
  <c r="J229" i="12"/>
  <c r="Z265" i="3"/>
  <c r="V265" i="3"/>
  <c r="X102" i="71"/>
  <c r="Z102" i="71" s="1"/>
  <c r="R102" i="71"/>
  <c r="Z55" i="67"/>
  <c r="X88" i="64"/>
  <c r="R88" i="64"/>
  <c r="N156" i="30"/>
  <c r="J156" i="30"/>
  <c r="V105" i="42"/>
  <c r="Z53" i="90"/>
  <c r="V36" i="75"/>
  <c r="L114" i="39"/>
  <c r="N114" i="39" s="1"/>
  <c r="F114" i="39"/>
  <c r="Z114" i="39"/>
  <c r="V114" i="39"/>
  <c r="V221" i="15"/>
  <c r="L245" i="18"/>
  <c r="F245" i="18"/>
  <c r="X85" i="94"/>
  <c r="Z85" i="94" s="1"/>
  <c r="R85" i="94"/>
  <c r="L117" i="27"/>
  <c r="N117" i="27" s="1"/>
  <c r="F117" i="27"/>
  <c r="X105" i="42"/>
  <c r="Z105" i="42" s="1"/>
  <c r="R105" i="42"/>
  <c r="X141" i="69"/>
  <c r="Z141" i="69" s="1"/>
  <c r="R141" i="69"/>
  <c r="N221" i="15"/>
  <c r="J221" i="15"/>
  <c r="Z245" i="18"/>
  <c r="V245" i="18"/>
  <c r="X109" i="77"/>
  <c r="Z109" i="77" s="1"/>
  <c r="R109" i="77"/>
  <c r="L86" i="33"/>
  <c r="F86" i="33"/>
  <c r="L88" i="64"/>
  <c r="N88" i="64" s="1"/>
  <c r="F88" i="64"/>
  <c r="X116" i="36"/>
  <c r="Z116" i="36" s="1"/>
  <c r="R116" i="36"/>
  <c r="X86" i="33"/>
  <c r="Z86" i="33" s="1"/>
  <c r="R86" i="33"/>
  <c r="V85" i="94"/>
  <c r="V109" i="77"/>
  <c r="X221" i="15"/>
  <c r="Z221" i="15" s="1"/>
  <c r="R221" i="15"/>
  <c r="V102" i="71"/>
  <c r="N102" i="51"/>
  <c r="J102" i="51"/>
  <c r="N69" i="48"/>
  <c r="J69" i="48"/>
  <c r="V35" i="78"/>
  <c r="X117" i="66"/>
  <c r="Z117" i="66" s="1"/>
  <c r="R117" i="66"/>
  <c r="L89" i="21"/>
  <c r="N89" i="21" s="1"/>
  <c r="F89" i="21"/>
  <c r="V229" i="12"/>
  <c r="N102" i="71"/>
  <c r="J102" i="71"/>
  <c r="N86" i="85"/>
  <c r="J86" i="85"/>
  <c r="N141" i="69"/>
  <c r="J141" i="69"/>
  <c r="X36" i="75"/>
  <c r="Z36" i="75" s="1"/>
  <c r="L71" i="73"/>
  <c r="V117" i="66"/>
  <c r="J109" i="77"/>
  <c r="Z89" i="21"/>
  <c r="V89" i="21"/>
  <c r="N265" i="3"/>
  <c r="J265" i="3"/>
  <c r="N83" i="70"/>
  <c r="J83" i="70"/>
  <c r="V102" i="51"/>
  <c r="J117" i="27"/>
  <c r="J93" i="24"/>
  <c r="L93" i="24"/>
  <c r="N93" i="24" s="1"/>
  <c r="X93" i="24"/>
  <c r="Z93" i="24" s="1"/>
  <c r="R93" i="24"/>
  <c r="X35" i="78"/>
  <c r="Z35" i="78" s="1"/>
  <c r="Z86" i="79"/>
  <c r="N105" i="42"/>
  <c r="J105" i="42"/>
  <c r="X156" i="30"/>
  <c r="Z156" i="30" s="1"/>
  <c r="R156" i="30"/>
  <c r="N86" i="33"/>
  <c r="J86" i="33"/>
  <c r="Z88" i="95"/>
  <c r="X88" i="95"/>
  <c r="L83" i="70"/>
  <c r="F83" i="70"/>
  <c r="L109" i="77"/>
  <c r="N109" i="77" s="1"/>
  <c r="F109" i="77"/>
  <c r="Z88" i="64"/>
  <c r="V88" i="64"/>
  <c r="Z30" i="87"/>
  <c r="V30" i="87"/>
  <c r="X30" i="87"/>
  <c r="X83" i="70"/>
  <c r="Z83" i="70" s="1"/>
  <c r="R83" i="70"/>
  <c r="X229" i="12"/>
  <c r="Z229" i="12" s="1"/>
  <c r="R229" i="12"/>
  <c r="X102" i="51"/>
  <c r="Z102" i="51" s="1"/>
  <c r="R102" i="51"/>
  <c r="L117" i="66"/>
  <c r="N117" i="66" s="1"/>
  <c r="F117" i="66"/>
</calcChain>
</file>

<file path=xl/sharedStrings.xml><?xml version="1.0" encoding="utf-8"?>
<sst xmlns="http://schemas.openxmlformats.org/spreadsheetml/2006/main" count="2844" uniqueCount="314">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</sst>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0" fontId="2" fillId="0" borderId="0" xfId="0" applyFont="1" applyAlignment="1">
      <alignment horizontal="left"/>
    </xf>
    <xf numFmtId="0" fontId="2" fillId="0" borderId="0" xfId="0" applyFont="1" applyFill="1" applyBorder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Fill="1"/>
    <xf numFmtId="0" fontId="0" fillId="0" borderId="0" xfId="0" applyBorder="1"/>
    <xf numFmtId="0" fontId="4" fillId="0" borderId="0" xfId="0" applyFont="1" applyAlignment="1">
      <alignment horizontal="left"/>
    </xf>
    <xf numFmtId="0" fontId="5" fillId="0" borderId="0" xfId="0" applyFont="1"/>
    <xf numFmtId="0" fontId="0" fillId="0" borderId="0" xfId="0" applyFill="1" applyAlignment="1">
      <alignment horizontal="centerContinuous"/>
    </xf>
    <xf numFmtId="49" fontId="2" fillId="2" borderId="1" xfId="0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left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138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255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255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80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5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80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124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124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55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70"/>
  <sheetViews>
    <sheetView tabSelected="1" zoomScale="80" workbookViewId="0">
      <pane xSplit="3" ySplit="10" topLeftCell="D162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2529009.2400000002</v>
      </c>
      <c r="E12" s="4"/>
      <c r="F12" s="12"/>
      <c r="G12" s="4"/>
      <c r="H12" s="4">
        <f>SUM(OSRRefH13x_0)</f>
        <v>680180.55000000028</v>
      </c>
      <c r="I12" s="4"/>
      <c r="J12" s="12"/>
      <c r="K12" s="4"/>
      <c r="L12" s="4">
        <f t="shared" ref="L12:L97" si="0">+D12-H12</f>
        <v>1848828.69</v>
      </c>
      <c r="M12" s="4"/>
      <c r="N12" s="12">
        <f t="shared" ref="N12:N97" si="1">IF(H12=0,0,L12/H12)</f>
        <v>2.7181440133799755</v>
      </c>
      <c r="O12" s="10"/>
      <c r="P12" s="4">
        <f>SUM(OSRRefP13x_0)</f>
        <v>7871294.5200000005</v>
      </c>
      <c r="Q12" s="4"/>
      <c r="R12" s="12"/>
      <c r="S12" s="4"/>
      <c r="T12" s="4">
        <f>SUM(OSRRefT13x_0)</f>
        <v>4263877.4599999972</v>
      </c>
      <c r="U12" s="4"/>
      <c r="V12" s="12"/>
      <c r="W12" s="4"/>
      <c r="X12" s="4">
        <f t="shared" ref="X12:X97" si="2">+P12-T12</f>
        <v>3607417.0600000033</v>
      </c>
      <c r="Y12" s="4"/>
      <c r="Z12" s="12">
        <f t="shared" ref="Z12:Z97" si="3">IF(T12=0,0,X12/T12)</f>
        <v>0.84604144791722169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--566965.46</f>
        <v>566965.46</v>
      </c>
      <c r="E13" s="2"/>
      <c r="F13" s="19"/>
      <c r="G13" s="2"/>
      <c r="H13" s="2">
        <f>-11561.63</f>
        <v>-11561.63</v>
      </c>
      <c r="I13" s="2"/>
      <c r="J13" s="19"/>
      <c r="K13" s="2"/>
      <c r="L13" s="2">
        <f t="shared" si="0"/>
        <v>578527.09</v>
      </c>
      <c r="M13" s="2"/>
      <c r="N13" s="19">
        <f t="shared" si="1"/>
        <v>-50.038540413419213</v>
      </c>
      <c r="O13" s="11"/>
      <c r="P13" s="2">
        <f>--2960341.21</f>
        <v>2960341.21</v>
      </c>
      <c r="Q13" s="2"/>
      <c r="R13" s="19"/>
      <c r="S13" s="2"/>
      <c r="T13" s="2">
        <f>-49362.41</f>
        <v>-49362.41</v>
      </c>
      <c r="U13" s="2"/>
      <c r="V13" s="19"/>
      <c r="W13" s="2"/>
      <c r="X13" s="2">
        <f t="shared" si="2"/>
        <v>3009703.62</v>
      </c>
      <c r="Y13" s="2"/>
      <c r="Z13" s="19">
        <f t="shared" si="3"/>
        <v>-60.971569662016094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--17630.93</f>
        <v>17630.93</v>
      </c>
      <c r="I14" s="2"/>
      <c r="J14" s="19"/>
      <c r="K14" s="2"/>
      <c r="L14" s="2">
        <f t="shared" si="0"/>
        <v>-17630.93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--712327.57</f>
        <v>712327.57</v>
      </c>
      <c r="U14" s="2"/>
      <c r="V14" s="19"/>
      <c r="W14" s="2"/>
      <c r="X14" s="2">
        <f t="shared" si="2"/>
        <v>-712327.57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--2483.62</f>
        <v>2483.62</v>
      </c>
      <c r="I15" s="2"/>
      <c r="J15" s="19"/>
      <c r="K15" s="2"/>
      <c r="L15" s="2">
        <f t="shared" si="0"/>
        <v>-2483.62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--319139.52</f>
        <v>319139.52</v>
      </c>
      <c r="U15" s="2"/>
      <c r="V15" s="19"/>
      <c r="W15" s="2"/>
      <c r="X15" s="2">
        <f t="shared" si="2"/>
        <v>-319139.52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--70</f>
        <v>70</v>
      </c>
      <c r="I16" s="2"/>
      <c r="J16" s="19"/>
      <c r="K16" s="2"/>
      <c r="L16" s="2">
        <f t="shared" si="0"/>
        <v>-70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--354.45</f>
        <v>354.45</v>
      </c>
      <c r="I17" s="2"/>
      <c r="J17" s="19"/>
      <c r="K17" s="2"/>
      <c r="L17" s="2">
        <f t="shared" si="0"/>
        <v>-354.45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--157.47</f>
        <v>157.47</v>
      </c>
      <c r="I18" s="2"/>
      <c r="J18" s="19"/>
      <c r="K18" s="2"/>
      <c r="L18" s="2">
        <f t="shared" si="0"/>
        <v>-157.47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--197.37</f>
        <v>197.37</v>
      </c>
      <c r="U18" s="2"/>
      <c r="V18" s="19"/>
      <c r="W18" s="2"/>
      <c r="X18" s="2">
        <f t="shared" si="2"/>
        <v>-197.37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</f>
        <v>35.799999999999997</v>
      </c>
      <c r="I19" s="2"/>
      <c r="J19" s="19"/>
      <c r="K19" s="2"/>
      <c r="L19" s="2">
        <f t="shared" si="0"/>
        <v>-35.799999999999997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--20.8</f>
        <v>20.8</v>
      </c>
      <c r="I21" s="2"/>
      <c r="J21" s="19"/>
      <c r="K21" s="2"/>
      <c r="L21" s="2">
        <f t="shared" si="0"/>
        <v>-20.8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--278.83</f>
        <v>278.83</v>
      </c>
      <c r="U21" s="2"/>
      <c r="V21" s="19"/>
      <c r="W21" s="2"/>
      <c r="X21" s="2">
        <f t="shared" si="2"/>
        <v>-278.83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--2328.89</f>
        <v>2328.89</v>
      </c>
      <c r="I22" s="2"/>
      <c r="J22" s="19"/>
      <c r="K22" s="2"/>
      <c r="L22" s="2">
        <f t="shared" si="0"/>
        <v>-2328.89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--35003.5</f>
        <v>35003.5</v>
      </c>
      <c r="U22" s="2"/>
      <c r="V22" s="19"/>
      <c r="W22" s="2"/>
      <c r="X22" s="2">
        <f t="shared" si="2"/>
        <v>-35003.5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--1769.95</f>
        <v>1769.95</v>
      </c>
      <c r="I23" s="2"/>
      <c r="J23" s="19"/>
      <c r="K23" s="2"/>
      <c r="L23" s="2">
        <f t="shared" si="0"/>
        <v>-1769.95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--14268.85</f>
        <v>14268.85</v>
      </c>
      <c r="U23" s="2"/>
      <c r="V23" s="19"/>
      <c r="W23" s="2"/>
      <c r="X23" s="2">
        <f t="shared" si="2"/>
        <v>-14268.85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--429.8</f>
        <v>429.8</v>
      </c>
      <c r="I24" s="2"/>
      <c r="J24" s="19"/>
      <c r="K24" s="2"/>
      <c r="L24" s="2">
        <f t="shared" si="0"/>
        <v>-429.8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--1667.96</f>
        <v>1667.96</v>
      </c>
      <c r="U24" s="2"/>
      <c r="V24" s="19"/>
      <c r="W24" s="2"/>
      <c r="X24" s="2">
        <f t="shared" si="2"/>
        <v>-1667.96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--54384.72</f>
        <v>54384.72</v>
      </c>
      <c r="I27" s="2"/>
      <c r="J27" s="19"/>
      <c r="K27" s="2"/>
      <c r="L27" s="2">
        <f t="shared" si="0"/>
        <v>-54384.72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--382804.91</f>
        <v>382804.91</v>
      </c>
      <c r="U27" s="2"/>
      <c r="V27" s="19"/>
      <c r="W27" s="2"/>
      <c r="X27" s="2">
        <f t="shared" si="2"/>
        <v>-382804.91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--22053.6</f>
        <v>22053.599999999999</v>
      </c>
      <c r="I28" s="2"/>
      <c r="J28" s="19"/>
      <c r="K28" s="2"/>
      <c r="L28" s="2">
        <f t="shared" si="0"/>
        <v>-22053.599999999999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--153087.22</f>
        <v>153087.22</v>
      </c>
      <c r="U28" s="2"/>
      <c r="V28" s="19"/>
      <c r="W28" s="2"/>
      <c r="X28" s="2">
        <f t="shared" si="2"/>
        <v>-153087.22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--6854.18</f>
        <v>6854.18</v>
      </c>
      <c r="I29" s="2"/>
      <c r="J29" s="19"/>
      <c r="K29" s="2"/>
      <c r="L29" s="2">
        <f t="shared" si="0"/>
        <v>-6854.18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--54783.68</f>
        <v>54783.68</v>
      </c>
      <c r="U29" s="2"/>
      <c r="V29" s="19"/>
      <c r="W29" s="2"/>
      <c r="X29" s="2">
        <f t="shared" si="2"/>
        <v>-54783.68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--30454.88</f>
        <v>30454.880000000001</v>
      </c>
      <c r="I30" s="2"/>
      <c r="J30" s="19"/>
      <c r="K30" s="2"/>
      <c r="L30" s="2">
        <f t="shared" si="0"/>
        <v>-30454.880000000001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--40246.04</f>
        <v>40246.04</v>
      </c>
      <c r="U30" s="2"/>
      <c r="V30" s="19"/>
      <c r="W30" s="2"/>
      <c r="X30" s="2">
        <f t="shared" si="2"/>
        <v>-40246.04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--1157.64</f>
        <v>1157.6400000000001</v>
      </c>
      <c r="I31" s="2"/>
      <c r="J31" s="19"/>
      <c r="K31" s="2"/>
      <c r="L31" s="2">
        <f t="shared" si="0"/>
        <v>-1157.6400000000001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--12489.16</f>
        <v>12489.16</v>
      </c>
      <c r="U31" s="2"/>
      <c r="V31" s="19"/>
      <c r="W31" s="2"/>
      <c r="X31" s="2">
        <f t="shared" si="2"/>
        <v>-12489.16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--4950.17</f>
        <v>4950.17</v>
      </c>
      <c r="I32" s="2"/>
      <c r="J32" s="19"/>
      <c r="K32" s="2"/>
      <c r="L32" s="2">
        <f t="shared" si="0"/>
        <v>-4950.17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--96956.61</f>
        <v>96956.61</v>
      </c>
      <c r="U32" s="2"/>
      <c r="V32" s="19"/>
      <c r="W32" s="2"/>
      <c r="X32" s="2">
        <f t="shared" si="2"/>
        <v>-96956.61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--39274.26</f>
        <v>39274.26</v>
      </c>
      <c r="E33" s="2"/>
      <c r="F33" s="19"/>
      <c r="G33" s="2"/>
      <c r="H33" s="2">
        <f>--6097.26</f>
        <v>6097.26</v>
      </c>
      <c r="I33" s="2"/>
      <c r="J33" s="19"/>
      <c r="K33" s="2"/>
      <c r="L33" s="2">
        <f t="shared" si="0"/>
        <v>33177</v>
      </c>
      <c r="M33" s="2"/>
      <c r="N33" s="19">
        <f t="shared" si="1"/>
        <v>5.4412965823993069</v>
      </c>
      <c r="O33" s="11"/>
      <c r="P33" s="2">
        <f>--104250.57</f>
        <v>104250.57</v>
      </c>
      <c r="Q33" s="2"/>
      <c r="R33" s="19"/>
      <c r="S33" s="2"/>
      <c r="T33" s="2">
        <f>--12749.94</f>
        <v>12749.94</v>
      </c>
      <c r="U33" s="2"/>
      <c r="V33" s="19"/>
      <c r="W33" s="2"/>
      <c r="X33" s="2">
        <f t="shared" si="2"/>
        <v>91500.63</v>
      </c>
      <c r="Y33" s="2"/>
      <c r="Z33" s="19">
        <f t="shared" si="3"/>
        <v>7.1765537720177504</v>
      </c>
    </row>
    <row r="34" spans="1:26" s="24" customFormat="1" hidden="1" outlineLevel="1" x14ac:dyDescent="0.25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0</f>
        <v>0</v>
      </c>
      <c r="E34" s="2"/>
      <c r="F34" s="19"/>
      <c r="G34" s="2"/>
      <c r="H34" s="2">
        <f>--30231.29</f>
        <v>30231.29</v>
      </c>
      <c r="I34" s="2"/>
      <c r="J34" s="19"/>
      <c r="K34" s="2"/>
      <c r="L34" s="2">
        <f t="shared" si="0"/>
        <v>-30231.29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--30231.29</f>
        <v>30231.29</v>
      </c>
      <c r="U34" s="2"/>
      <c r="V34" s="19"/>
      <c r="W34" s="2"/>
      <c r="X34" s="2">
        <f t="shared" si="2"/>
        <v>-30231.29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--5315.1</f>
        <v>5315.1</v>
      </c>
      <c r="E35" s="2"/>
      <c r="F35" s="19"/>
      <c r="G35" s="2"/>
      <c r="H35" s="2">
        <f t="shared" ref="H35:H36" si="7">0</f>
        <v>0</v>
      </c>
      <c r="I35" s="2"/>
      <c r="J35" s="19"/>
      <c r="K35" s="2"/>
      <c r="L35" s="2">
        <f t="shared" si="0"/>
        <v>5315.1</v>
      </c>
      <c r="M35" s="2"/>
      <c r="N35" s="19">
        <f t="shared" si="1"/>
        <v>0</v>
      </c>
      <c r="O35" s="11"/>
      <c r="P35" s="2">
        <f>--6589.12</f>
        <v>6589.12</v>
      </c>
      <c r="Q35" s="2"/>
      <c r="R35" s="19"/>
      <c r="S35" s="2"/>
      <c r="T35" s="2">
        <f>--402.44</f>
        <v>402.44</v>
      </c>
      <c r="U35" s="2"/>
      <c r="V35" s="19"/>
      <c r="W35" s="2"/>
      <c r="X35" s="2">
        <f t="shared" si="2"/>
        <v>6186.68</v>
      </c>
      <c r="Y35" s="2"/>
      <c r="Z35" s="19">
        <f t="shared" si="3"/>
        <v>15.372925156545076</v>
      </c>
    </row>
    <row r="36" spans="1:26" s="24" customFormat="1" hidden="1" outlineLevel="1" x14ac:dyDescent="0.25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 t="shared" ref="D36:D41" si="8">0</f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41" si="9">0</f>
        <v>0</v>
      </c>
      <c r="Q36" s="2"/>
      <c r="R36" s="19"/>
      <c r="S36" s="2"/>
      <c r="T36" s="2">
        <f>--974.91</f>
        <v>974.91</v>
      </c>
      <c r="U36" s="2"/>
      <c r="V36" s="19"/>
      <c r="W36" s="2"/>
      <c r="X36" s="2">
        <f t="shared" si="2"/>
        <v>-974.91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 t="shared" si="8"/>
        <v>0</v>
      </c>
      <c r="E37" s="2"/>
      <c r="F37" s="19"/>
      <c r="G37" s="2"/>
      <c r="H37" s="2">
        <f>--5014.67</f>
        <v>5014.67</v>
      </c>
      <c r="I37" s="2"/>
      <c r="J37" s="19"/>
      <c r="K37" s="2"/>
      <c r="L37" s="2">
        <f t="shared" si="0"/>
        <v>-5014.67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--55117.29</f>
        <v>55117.29</v>
      </c>
      <c r="U37" s="2"/>
      <c r="V37" s="19"/>
      <c r="W37" s="2"/>
      <c r="X37" s="2">
        <f t="shared" si="2"/>
        <v>-55117.29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 t="shared" si="8"/>
        <v>0</v>
      </c>
      <c r="E38" s="2"/>
      <c r="F38" s="19"/>
      <c r="G38" s="2"/>
      <c r="H38" s="2">
        <f>--152786.78</f>
        <v>152786.78</v>
      </c>
      <c r="I38" s="2"/>
      <c r="J38" s="19"/>
      <c r="K38" s="2"/>
      <c r="L38" s="2">
        <f t="shared" si="0"/>
        <v>-152786.78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--892099.99</f>
        <v>892099.99</v>
      </c>
      <c r="U38" s="2"/>
      <c r="V38" s="19"/>
      <c r="W38" s="2"/>
      <c r="X38" s="2">
        <f t="shared" si="2"/>
        <v>-892099.99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 t="shared" si="8"/>
        <v>0</v>
      </c>
      <c r="E39" s="2"/>
      <c r="F39" s="19"/>
      <c r="G39" s="2"/>
      <c r="H39" s="2">
        <f>--3392.4</f>
        <v>3392.4</v>
      </c>
      <c r="I39" s="2"/>
      <c r="J39" s="19"/>
      <c r="K39" s="2"/>
      <c r="L39" s="2">
        <f t="shared" si="0"/>
        <v>-3392.4</v>
      </c>
      <c r="M39" s="2"/>
      <c r="N39" s="19">
        <f t="shared" si="1"/>
        <v>-1</v>
      </c>
      <c r="O39" s="11"/>
      <c r="P39" s="2">
        <f t="shared" si="9"/>
        <v>0</v>
      </c>
      <c r="Q39" s="2"/>
      <c r="R39" s="19"/>
      <c r="S39" s="2"/>
      <c r="T39" s="2">
        <f>--72055.09</f>
        <v>72055.09</v>
      </c>
      <c r="U39" s="2"/>
      <c r="V39" s="19"/>
      <c r="W39" s="2"/>
      <c r="X39" s="2">
        <f t="shared" si="2"/>
        <v>-72055.09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 t="shared" si="8"/>
        <v>0</v>
      </c>
      <c r="E40" s="2"/>
      <c r="F40" s="19"/>
      <c r="G40" s="2"/>
      <c r="H40" s="2">
        <f>--139</f>
        <v>139</v>
      </c>
      <c r="I40" s="2"/>
      <c r="J40" s="19"/>
      <c r="K40" s="2"/>
      <c r="L40" s="2">
        <f t="shared" si="0"/>
        <v>-139</v>
      </c>
      <c r="M40" s="2"/>
      <c r="N40" s="19">
        <f t="shared" si="1"/>
        <v>-1</v>
      </c>
      <c r="O40" s="11"/>
      <c r="P40" s="2">
        <f t="shared" si="9"/>
        <v>0</v>
      </c>
      <c r="Q40" s="2"/>
      <c r="R40" s="19"/>
      <c r="S40" s="2"/>
      <c r="T40" s="2">
        <f>--1120.96</f>
        <v>1120.96</v>
      </c>
      <c r="U40" s="2"/>
      <c r="V40" s="19"/>
      <c r="W40" s="2"/>
      <c r="X40" s="2">
        <f t="shared" si="2"/>
        <v>-1120.96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 t="shared" si="8"/>
        <v>0</v>
      </c>
      <c r="E41" s="2"/>
      <c r="F41" s="19"/>
      <c r="G41" s="2"/>
      <c r="H41" s="2">
        <f>--1385.25</f>
        <v>1385.25</v>
      </c>
      <c r="I41" s="2"/>
      <c r="J41" s="19"/>
      <c r="K41" s="2"/>
      <c r="L41" s="2">
        <f t="shared" si="0"/>
        <v>-1385.25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--29366.66</f>
        <v>29366.66</v>
      </c>
      <c r="U41" s="2"/>
      <c r="V41" s="19"/>
      <c r="W41" s="2"/>
      <c r="X41" s="2">
        <f t="shared" si="2"/>
        <v>-29366.66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"4100", " - ", "NON-TAXABLE SALES")</f>
        <v xml:space="preserve">          4100 - NON-TAXABLE SALES</v>
      </c>
      <c r="C42" s="11"/>
      <c r="D42" s="2">
        <f>--234443.72</f>
        <v>234443.72</v>
      </c>
      <c r="E42" s="2"/>
      <c r="F42" s="19"/>
      <c r="G42" s="2"/>
      <c r="H42" s="2">
        <f>--151698.79</f>
        <v>151698.79</v>
      </c>
      <c r="I42" s="2"/>
      <c r="J42" s="19"/>
      <c r="K42" s="2"/>
      <c r="L42" s="2">
        <f t="shared" si="0"/>
        <v>82744.929999999993</v>
      </c>
      <c r="M42" s="2"/>
      <c r="N42" s="19">
        <f t="shared" si="1"/>
        <v>0.54545543837231658</v>
      </c>
      <c r="O42" s="11"/>
      <c r="P42" s="2">
        <f>--1189731.72</f>
        <v>1189731.72</v>
      </c>
      <c r="Q42" s="2"/>
      <c r="R42" s="19"/>
      <c r="S42" s="2"/>
      <c r="T42" s="2">
        <f>--434084.81</f>
        <v>434084.81</v>
      </c>
      <c r="U42" s="2"/>
      <c r="V42" s="19"/>
      <c r="W42" s="2"/>
      <c r="X42" s="2">
        <f t="shared" si="2"/>
        <v>755646.90999999992</v>
      </c>
      <c r="Y42" s="2"/>
      <c r="Z42" s="19">
        <f t="shared" si="3"/>
        <v>1.7407817380202728</v>
      </c>
    </row>
    <row r="43" spans="1:26" s="24" customFormat="1" hidden="1" outlineLevel="1" x14ac:dyDescent="0.25">
      <c r="A43" s="44"/>
      <c r="B43" s="11" t="str">
        <f>CONCATENATE("          ", "4101", " - ", "NON-TAXABLE SALES-NEW TEXT")</f>
        <v xml:space="preserve">          4101 - NON-TAXABLE SALES-NEW TEXT</v>
      </c>
      <c r="C43" s="11"/>
      <c r="D43" s="2">
        <f t="shared" ref="D43:D56" si="10">0</f>
        <v>0</v>
      </c>
      <c r="E43" s="2"/>
      <c r="F43" s="19"/>
      <c r="G43" s="2"/>
      <c r="H43" s="2">
        <f>--7260.05</f>
        <v>7260.05</v>
      </c>
      <c r="I43" s="2"/>
      <c r="J43" s="19"/>
      <c r="K43" s="2"/>
      <c r="L43" s="2">
        <f t="shared" si="0"/>
        <v>-7260.05</v>
      </c>
      <c r="M43" s="2"/>
      <c r="N43" s="19">
        <f t="shared" si="1"/>
        <v>-1</v>
      </c>
      <c r="O43" s="11"/>
      <c r="P43" s="2">
        <f t="shared" ref="P43:P63" si="11">0</f>
        <v>0</v>
      </c>
      <c r="Q43" s="2"/>
      <c r="R43" s="19"/>
      <c r="S43" s="2"/>
      <c r="T43" s="2">
        <f>--77664.89</f>
        <v>77664.89</v>
      </c>
      <c r="U43" s="2"/>
      <c r="V43" s="19"/>
      <c r="W43" s="2"/>
      <c r="X43" s="2">
        <f t="shared" si="2"/>
        <v>-77664.89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"4102", " - ", "NON-TAXABLE SALES-USED TEXT")</f>
        <v xml:space="preserve">          4102 - NON-TAXABLE SALES-USED TEXT</v>
      </c>
      <c r="C44" s="11"/>
      <c r="D44" s="2">
        <f t="shared" si="10"/>
        <v>0</v>
      </c>
      <c r="E44" s="2"/>
      <c r="F44" s="19"/>
      <c r="G44" s="2"/>
      <c r="H44" s="2">
        <f>--2341.65</f>
        <v>2341.65</v>
      </c>
      <c r="I44" s="2"/>
      <c r="J44" s="19"/>
      <c r="K44" s="2"/>
      <c r="L44" s="2">
        <f t="shared" si="0"/>
        <v>-2341.65</v>
      </c>
      <c r="M44" s="2"/>
      <c r="N44" s="19">
        <f t="shared" si="1"/>
        <v>-1</v>
      </c>
      <c r="O44" s="11"/>
      <c r="P44" s="2">
        <f t="shared" si="11"/>
        <v>0</v>
      </c>
      <c r="Q44" s="2"/>
      <c r="R44" s="19"/>
      <c r="S44" s="2"/>
      <c r="T44" s="2">
        <f>--32712.47</f>
        <v>32712.47</v>
      </c>
      <c r="U44" s="2"/>
      <c r="V44" s="19"/>
      <c r="W44" s="2"/>
      <c r="X44" s="2">
        <f t="shared" si="2"/>
        <v>-32712.47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 t="shared" si="10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1"/>
        <v>0</v>
      </c>
      <c r="Q45" s="2"/>
      <c r="R45" s="19"/>
      <c r="S45" s="2"/>
      <c r="T45" s="2">
        <f>--284.97</f>
        <v>284.97000000000003</v>
      </c>
      <c r="U45" s="2"/>
      <c r="V45" s="19"/>
      <c r="W45" s="2"/>
      <c r="X45" s="2">
        <f t="shared" si="2"/>
        <v>-284.97000000000003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 t="shared" si="10"/>
        <v>0</v>
      </c>
      <c r="E46" s="2"/>
      <c r="F46" s="19"/>
      <c r="G46" s="2"/>
      <c r="H46" s="2">
        <f>--6767.67</f>
        <v>6767.67</v>
      </c>
      <c r="I46" s="2"/>
      <c r="J46" s="19"/>
      <c r="K46" s="2"/>
      <c r="L46" s="2">
        <f t="shared" si="0"/>
        <v>-6767.67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--293475.52</f>
        <v>293475.52</v>
      </c>
      <c r="U46" s="2"/>
      <c r="V46" s="19"/>
      <c r="W46" s="2"/>
      <c r="X46" s="2">
        <f t="shared" si="2"/>
        <v>-293475.52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 t="shared" si="10"/>
        <v>0</v>
      </c>
      <c r="E47" s="2"/>
      <c r="F47" s="19"/>
      <c r="G47" s="2"/>
      <c r="H47" s="2">
        <f>--1655.95</f>
        <v>1655.95</v>
      </c>
      <c r="I47" s="2"/>
      <c r="J47" s="19"/>
      <c r="K47" s="2"/>
      <c r="L47" s="2">
        <f t="shared" si="0"/>
        <v>-1655.95</v>
      </c>
      <c r="M47" s="2"/>
      <c r="N47" s="19">
        <f t="shared" si="1"/>
        <v>-1</v>
      </c>
      <c r="O47" s="11"/>
      <c r="P47" s="2">
        <f t="shared" si="11"/>
        <v>0</v>
      </c>
      <c r="Q47" s="2"/>
      <c r="R47" s="19"/>
      <c r="S47" s="2"/>
      <c r="T47" s="2">
        <f>--1655.95</f>
        <v>1655.95</v>
      </c>
      <c r="U47" s="2"/>
      <c r="V47" s="19"/>
      <c r="W47" s="2"/>
      <c r="X47" s="2">
        <f t="shared" si="2"/>
        <v>-1655.95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 t="shared" si="10"/>
        <v>0</v>
      </c>
      <c r="E48" s="2"/>
      <c r="F48" s="19"/>
      <c r="G48" s="2"/>
      <c r="H48" s="2">
        <f>--97.3</f>
        <v>97.3</v>
      </c>
      <c r="I48" s="2"/>
      <c r="J48" s="19"/>
      <c r="K48" s="2"/>
      <c r="L48" s="2">
        <f t="shared" si="0"/>
        <v>-97.3</v>
      </c>
      <c r="M48" s="2"/>
      <c r="N48" s="19">
        <f t="shared" si="1"/>
        <v>-1</v>
      </c>
      <c r="O48" s="11"/>
      <c r="P48" s="2">
        <f t="shared" si="11"/>
        <v>0</v>
      </c>
      <c r="Q48" s="2"/>
      <c r="R48" s="19"/>
      <c r="S48" s="2"/>
      <c r="T48" s="2">
        <f>--205.63</f>
        <v>205.63</v>
      </c>
      <c r="U48" s="2"/>
      <c r="V48" s="19"/>
      <c r="W48" s="2"/>
      <c r="X48" s="2">
        <f t="shared" si="2"/>
        <v>-205.63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 t="shared" si="10"/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1"/>
        <v>0</v>
      </c>
      <c r="Q49" s="2"/>
      <c r="R49" s="19"/>
      <c r="S49" s="2"/>
      <c r="T49" s="2">
        <f>--52.68</f>
        <v>52.68</v>
      </c>
      <c r="U49" s="2"/>
      <c r="V49" s="19"/>
      <c r="W49" s="2"/>
      <c r="X49" s="2">
        <f t="shared" si="2"/>
        <v>-52.68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 t="shared" si="10"/>
        <v>0</v>
      </c>
      <c r="E50" s="2"/>
      <c r="F50" s="19"/>
      <c r="G50" s="2"/>
      <c r="H50" s="2">
        <f>--160.95</f>
        <v>160.94999999999999</v>
      </c>
      <c r="I50" s="2"/>
      <c r="J50" s="19"/>
      <c r="K50" s="2"/>
      <c r="L50" s="2">
        <f t="shared" si="0"/>
        <v>-160.94999999999999</v>
      </c>
      <c r="M50" s="2"/>
      <c r="N50" s="19">
        <f t="shared" si="1"/>
        <v>-1</v>
      </c>
      <c r="O50" s="11"/>
      <c r="P50" s="2">
        <f t="shared" si="11"/>
        <v>0</v>
      </c>
      <c r="Q50" s="2"/>
      <c r="R50" s="19"/>
      <c r="S50" s="2"/>
      <c r="T50" s="2">
        <f>--2831.69</f>
        <v>2831.69</v>
      </c>
      <c r="U50" s="2"/>
      <c r="V50" s="19"/>
      <c r="W50" s="2"/>
      <c r="X50" s="2">
        <f t="shared" si="2"/>
        <v>-2831.69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"4131", " - ", "NON-TAXABLE SALES-FOOD")</f>
        <v xml:space="preserve">          4131 - NON-TAXABLE SALES-FOOD</v>
      </c>
      <c r="C51" s="11"/>
      <c r="D51" s="2">
        <f t="shared" si="10"/>
        <v>0</v>
      </c>
      <c r="E51" s="2"/>
      <c r="F51" s="19"/>
      <c r="G51" s="2"/>
      <c r="H51" s="2">
        <f>--1521.48</f>
        <v>1521.48</v>
      </c>
      <c r="I51" s="2"/>
      <c r="J51" s="19"/>
      <c r="K51" s="2"/>
      <c r="L51" s="2">
        <f t="shared" si="0"/>
        <v>-1521.48</v>
      </c>
      <c r="M51" s="2"/>
      <c r="N51" s="19">
        <f t="shared" si="1"/>
        <v>-1</v>
      </c>
      <c r="O51" s="11"/>
      <c r="P51" s="2">
        <f t="shared" si="11"/>
        <v>0</v>
      </c>
      <c r="Q51" s="2"/>
      <c r="R51" s="19"/>
      <c r="S51" s="2"/>
      <c r="T51" s="2">
        <f>--5525.44</f>
        <v>5525.44</v>
      </c>
      <c r="U51" s="2"/>
      <c r="V51" s="19"/>
      <c r="W51" s="2"/>
      <c r="X51" s="2">
        <f t="shared" si="2"/>
        <v>-5525.44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"4132", " - ", "NON-TAXABLE SALES-JUICE")</f>
        <v xml:space="preserve">          4132 - NON-TAXABLE SALES-JUICE</v>
      </c>
      <c r="C52" s="11"/>
      <c r="D52" s="2">
        <f t="shared" si="10"/>
        <v>0</v>
      </c>
      <c r="E52" s="2"/>
      <c r="F52" s="19"/>
      <c r="G52" s="2"/>
      <c r="H52" s="2">
        <f t="shared" ref="H52:H55" si="12"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 t="shared" si="11"/>
        <v>0</v>
      </c>
      <c r="Q52" s="2"/>
      <c r="R52" s="19"/>
      <c r="S52" s="2"/>
      <c r="T52" s="2">
        <f>--2054.37</f>
        <v>2054.37</v>
      </c>
      <c r="U52" s="2"/>
      <c r="V52" s="19"/>
      <c r="W52" s="2"/>
      <c r="X52" s="2">
        <f t="shared" si="2"/>
        <v>-2054.37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"4133", " - ", "NON-TAXABLE SALES-CANDY")</f>
        <v xml:space="preserve">          4133 - NON-TAXABLE SALES-CANDY</v>
      </c>
      <c r="C53" s="11"/>
      <c r="D53" s="2">
        <f t="shared" si="10"/>
        <v>0</v>
      </c>
      <c r="E53" s="2"/>
      <c r="F53" s="19"/>
      <c r="G53" s="2"/>
      <c r="H53" s="2">
        <f t="shared" si="12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1"/>
        <v>0</v>
      </c>
      <c r="Q53" s="2"/>
      <c r="R53" s="19"/>
      <c r="S53" s="2"/>
      <c r="T53" s="2">
        <f>--80.71</f>
        <v>80.709999999999994</v>
      </c>
      <c r="U53" s="2"/>
      <c r="V53" s="19"/>
      <c r="W53" s="2"/>
      <c r="X53" s="2">
        <f t="shared" si="2"/>
        <v>-80.709999999999994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"4134", " - ", "NON-TAXABLE SALES-SODA")</f>
        <v xml:space="preserve">          4134 - NON-TAXABLE SALES-SODA</v>
      </c>
      <c r="C54" s="11"/>
      <c r="D54" s="2">
        <f t="shared" si="10"/>
        <v>0</v>
      </c>
      <c r="E54" s="2"/>
      <c r="F54" s="19"/>
      <c r="G54" s="2"/>
      <c r="H54" s="2">
        <f t="shared" si="12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11"/>
        <v>0</v>
      </c>
      <c r="Q54" s="2"/>
      <c r="R54" s="19"/>
      <c r="S54" s="2"/>
      <c r="T54" s="2">
        <f>--45.53</f>
        <v>45.53</v>
      </c>
      <c r="U54" s="2"/>
      <c r="V54" s="19"/>
      <c r="W54" s="2"/>
      <c r="X54" s="2">
        <f t="shared" si="2"/>
        <v>-45.53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"4137", " - ", "NON-TAXABLE SALES-WATER")</f>
        <v xml:space="preserve">          4137 - NON-TAXABLE SALES-WATER</v>
      </c>
      <c r="C55" s="11"/>
      <c r="D55" s="2">
        <f t="shared" si="10"/>
        <v>0</v>
      </c>
      <c r="E55" s="2"/>
      <c r="F55" s="19"/>
      <c r="G55" s="2"/>
      <c r="H55" s="2">
        <f t="shared" si="12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1"/>
        <v>0</v>
      </c>
      <c r="Q55" s="2"/>
      <c r="R55" s="19"/>
      <c r="S55" s="2"/>
      <c r="T55" s="2">
        <f>--68.25</f>
        <v>68.25</v>
      </c>
      <c r="U55" s="2"/>
      <c r="V55" s="19"/>
      <c r="W55" s="2"/>
      <c r="X55" s="2">
        <f t="shared" si="2"/>
        <v>-68.25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"4140", " - ", "NON-TAXABLE SALES-LOGO CLOTHIN")</f>
        <v xml:space="preserve">          4140 - NON-TAXABLE SALES-LOGO CLOTHIN</v>
      </c>
      <c r="C56" s="11"/>
      <c r="D56" s="2">
        <f t="shared" si="10"/>
        <v>0</v>
      </c>
      <c r="E56" s="2"/>
      <c r="F56" s="19"/>
      <c r="G56" s="2"/>
      <c r="H56" s="2">
        <f>--13163.04</f>
        <v>13163.04</v>
      </c>
      <c r="I56" s="2"/>
      <c r="J56" s="19"/>
      <c r="K56" s="2"/>
      <c r="L56" s="2">
        <f t="shared" si="0"/>
        <v>-13163.04</v>
      </c>
      <c r="M56" s="2"/>
      <c r="N56" s="19">
        <f t="shared" si="1"/>
        <v>-1</v>
      </c>
      <c r="O56" s="11"/>
      <c r="P56" s="2">
        <f t="shared" si="11"/>
        <v>0</v>
      </c>
      <c r="Q56" s="2"/>
      <c r="R56" s="19"/>
      <c r="S56" s="2"/>
      <c r="T56" s="2">
        <f>--30615.48</f>
        <v>30615.48</v>
      </c>
      <c r="U56" s="2"/>
      <c r="V56" s="19"/>
      <c r="W56" s="2"/>
      <c r="X56" s="2">
        <f t="shared" si="2"/>
        <v>-30615.48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"4141", " - ", "NON-TAXABLE SALES-LOGO GIFTS")</f>
        <v xml:space="preserve">          4141 - NON-TAXABLE SALES-LOGO GIFTS</v>
      </c>
      <c r="C57" s="11"/>
      <c r="D57" s="2">
        <f>-460.55</f>
        <v>-460.55</v>
      </c>
      <c r="E57" s="2"/>
      <c r="F57" s="19"/>
      <c r="G57" s="2"/>
      <c r="H57" s="2">
        <f>--437.71</f>
        <v>437.71</v>
      </c>
      <c r="I57" s="2"/>
      <c r="J57" s="19"/>
      <c r="K57" s="2"/>
      <c r="L57" s="2">
        <f t="shared" si="0"/>
        <v>-898.26</v>
      </c>
      <c r="M57" s="2"/>
      <c r="N57" s="19">
        <f t="shared" si="1"/>
        <v>-2.0521806675652829</v>
      </c>
      <c r="O57" s="11"/>
      <c r="P57" s="2">
        <f t="shared" si="11"/>
        <v>0</v>
      </c>
      <c r="Q57" s="2"/>
      <c r="R57" s="19"/>
      <c r="S57" s="2"/>
      <c r="T57" s="2">
        <f>--3382.7</f>
        <v>3382.7</v>
      </c>
      <c r="U57" s="2"/>
      <c r="V57" s="19"/>
      <c r="W57" s="2"/>
      <c r="X57" s="2">
        <f t="shared" si="2"/>
        <v>-3382.7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"4142", " - ", "NON-TAXABLE SALES-EVERYDAY GIF")</f>
        <v xml:space="preserve">          4142 - NON-TAXABLE SALES-EVERYDAY GIF</v>
      </c>
      <c r="C58" s="11"/>
      <c r="D58" s="2">
        <f t="shared" ref="D58:D61" si="13">0</f>
        <v>0</v>
      </c>
      <c r="E58" s="2"/>
      <c r="F58" s="19"/>
      <c r="G58" s="2"/>
      <c r="H58" s="2">
        <f>--310.68</f>
        <v>310.68</v>
      </c>
      <c r="I58" s="2"/>
      <c r="J58" s="19"/>
      <c r="K58" s="2"/>
      <c r="L58" s="2">
        <f t="shared" si="0"/>
        <v>-310.68</v>
      </c>
      <c r="M58" s="2"/>
      <c r="N58" s="19">
        <f t="shared" si="1"/>
        <v>-1</v>
      </c>
      <c r="O58" s="11"/>
      <c r="P58" s="2">
        <f t="shared" si="11"/>
        <v>0</v>
      </c>
      <c r="Q58" s="2"/>
      <c r="R58" s="19"/>
      <c r="S58" s="2"/>
      <c r="T58" s="2">
        <f>--1320.41</f>
        <v>1320.41</v>
      </c>
      <c r="U58" s="2"/>
      <c r="V58" s="19"/>
      <c r="W58" s="2"/>
      <c r="X58" s="2">
        <f t="shared" si="2"/>
        <v>-1320.41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"4143", " - ", "NON-TAXABLE SALES-CARDS")</f>
        <v xml:space="preserve">          4143 - NON-TAXABLE SALES-CARDS</v>
      </c>
      <c r="C59" s="11"/>
      <c r="D59" s="2">
        <f t="shared" si="13"/>
        <v>0</v>
      </c>
      <c r="E59" s="2"/>
      <c r="F59" s="19"/>
      <c r="G59" s="2"/>
      <c r="H59" s="2">
        <f>--9.99</f>
        <v>9.99</v>
      </c>
      <c r="I59" s="2"/>
      <c r="J59" s="19"/>
      <c r="K59" s="2"/>
      <c r="L59" s="2">
        <f t="shared" si="0"/>
        <v>-9.99</v>
      </c>
      <c r="M59" s="2"/>
      <c r="N59" s="19">
        <f t="shared" si="1"/>
        <v>-1</v>
      </c>
      <c r="O59" s="11"/>
      <c r="P59" s="2">
        <f t="shared" si="11"/>
        <v>0</v>
      </c>
      <c r="Q59" s="2"/>
      <c r="R59" s="19"/>
      <c r="S59" s="2"/>
      <c r="T59" s="2">
        <f>--29.97</f>
        <v>29.97</v>
      </c>
      <c r="U59" s="2"/>
      <c r="V59" s="19"/>
      <c r="W59" s="2"/>
      <c r="X59" s="2">
        <f t="shared" si="2"/>
        <v>-29.97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"4144", " - ", "NON-TAXABLE SALES-ACCESSORIES")</f>
        <v xml:space="preserve">          4144 - NON-TAXABLE SALES-ACCESSORIES</v>
      </c>
      <c r="C60" s="11"/>
      <c r="D60" s="2">
        <f t="shared" si="13"/>
        <v>0</v>
      </c>
      <c r="E60" s="2"/>
      <c r="F60" s="19"/>
      <c r="G60" s="2"/>
      <c r="H60" s="2">
        <f>--154</f>
        <v>154</v>
      </c>
      <c r="I60" s="2"/>
      <c r="J60" s="19"/>
      <c r="K60" s="2"/>
      <c r="L60" s="2">
        <f t="shared" si="0"/>
        <v>-154</v>
      </c>
      <c r="M60" s="2"/>
      <c r="N60" s="19">
        <f t="shared" si="1"/>
        <v>-1</v>
      </c>
      <c r="O60" s="11"/>
      <c r="P60" s="2">
        <f t="shared" si="11"/>
        <v>0</v>
      </c>
      <c r="Q60" s="2"/>
      <c r="R60" s="19"/>
      <c r="S60" s="2"/>
      <c r="T60" s="2">
        <f>--369.75</f>
        <v>369.75</v>
      </c>
      <c r="U60" s="2"/>
      <c r="V60" s="19"/>
      <c r="W60" s="2"/>
      <c r="X60" s="2">
        <f t="shared" si="2"/>
        <v>-369.75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"4145", " - ", "NON-TAXABLE SALES-SPECIAL ORDE")</f>
        <v xml:space="preserve">          4145 - NON-TAXABLE SALES-SPECIAL ORDE</v>
      </c>
      <c r="C61" s="11"/>
      <c r="D61" s="2">
        <f t="shared" si="13"/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 t="shared" si="11"/>
        <v>0</v>
      </c>
      <c r="Q61" s="2"/>
      <c r="R61" s="19"/>
      <c r="S61" s="2"/>
      <c r="T61" s="2">
        <f>--35846</f>
        <v>35846</v>
      </c>
      <c r="U61" s="2"/>
      <c r="V61" s="19"/>
      <c r="W61" s="2"/>
      <c r="X61" s="2">
        <f t="shared" si="2"/>
        <v>-35846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"4146", " - ", "NON-TAXABLE SALES-COIN OP MACH")</f>
        <v xml:space="preserve">          4146 - NON-TAXABLE SALES-COIN OP MACH</v>
      </c>
      <c r="C62" s="11"/>
      <c r="D62" s="2">
        <f>-7492.95</f>
        <v>-7492.95</v>
      </c>
      <c r="E62" s="2"/>
      <c r="F62" s="19"/>
      <c r="G62" s="2"/>
      <c r="H62" s="2">
        <f>--21.3</f>
        <v>21.3</v>
      </c>
      <c r="I62" s="2"/>
      <c r="J62" s="19"/>
      <c r="K62" s="2"/>
      <c r="L62" s="2">
        <f t="shared" si="0"/>
        <v>-7514.25</v>
      </c>
      <c r="M62" s="2"/>
      <c r="N62" s="19">
        <f t="shared" si="1"/>
        <v>-352.78169014084506</v>
      </c>
      <c r="O62" s="11"/>
      <c r="P62" s="2">
        <f t="shared" si="11"/>
        <v>0</v>
      </c>
      <c r="Q62" s="2"/>
      <c r="R62" s="19"/>
      <c r="S62" s="2"/>
      <c r="T62" s="2">
        <f t="shared" ref="T62:T63" si="14">--86.5</f>
        <v>86.5</v>
      </c>
      <c r="U62" s="2"/>
      <c r="V62" s="19"/>
      <c r="W62" s="2"/>
      <c r="X62" s="2">
        <f t="shared" si="2"/>
        <v>-86.5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"4147", " - ", "NON-TAXABLE SALES-MISC")</f>
        <v xml:space="preserve">          4147 - NON-TAXABLE SALES-MISC</v>
      </c>
      <c r="C63" s="11"/>
      <c r="D63" s="2">
        <f>0</f>
        <v>0</v>
      </c>
      <c r="E63" s="2"/>
      <c r="F63" s="19"/>
      <c r="G63" s="2"/>
      <c r="H63" s="2">
        <f>--38.5</f>
        <v>38.5</v>
      </c>
      <c r="I63" s="2"/>
      <c r="J63" s="19"/>
      <c r="K63" s="2"/>
      <c r="L63" s="2">
        <f t="shared" si="0"/>
        <v>-38.5</v>
      </c>
      <c r="M63" s="2"/>
      <c r="N63" s="19">
        <f t="shared" si="1"/>
        <v>-1</v>
      </c>
      <c r="O63" s="11"/>
      <c r="P63" s="2">
        <f t="shared" si="11"/>
        <v>0</v>
      </c>
      <c r="Q63" s="2"/>
      <c r="R63" s="19"/>
      <c r="S63" s="2"/>
      <c r="T63" s="2">
        <f t="shared" si="14"/>
        <v>86.5</v>
      </c>
      <c r="U63" s="2"/>
      <c r="V63" s="19"/>
      <c r="W63" s="2"/>
      <c r="X63" s="2">
        <f t="shared" si="2"/>
        <v>-86.5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"4151", " - ", "NON-TAXABLE SALES-FOOD")</f>
        <v xml:space="preserve">          4151 - NON-TAXABLE SALES-FOOD</v>
      </c>
      <c r="C64" s="11"/>
      <c r="D64" s="2">
        <f>--1734326.4</f>
        <v>1734326.4</v>
      </c>
      <c r="E64" s="2"/>
      <c r="F64" s="19"/>
      <c r="G64" s="2"/>
      <c r="H64" s="2">
        <f>--173820.37</f>
        <v>173820.37</v>
      </c>
      <c r="I64" s="2"/>
      <c r="J64" s="19"/>
      <c r="K64" s="2"/>
      <c r="L64" s="2">
        <f t="shared" si="0"/>
        <v>1560506.0299999998</v>
      </c>
      <c r="M64" s="2"/>
      <c r="N64" s="19">
        <f t="shared" si="1"/>
        <v>8.9776936385534096</v>
      </c>
      <c r="O64" s="11"/>
      <c r="P64" s="2">
        <f>--3770889.88</f>
        <v>3770889.88</v>
      </c>
      <c r="Q64" s="2"/>
      <c r="R64" s="19"/>
      <c r="S64" s="2"/>
      <c r="T64" s="2">
        <f>--441429.04</f>
        <v>441429.04</v>
      </c>
      <c r="U64" s="2"/>
      <c r="V64" s="19"/>
      <c r="W64" s="2"/>
      <c r="X64" s="2">
        <f t="shared" si="2"/>
        <v>3329460.84</v>
      </c>
      <c r="Y64" s="2"/>
      <c r="Z64" s="19">
        <f t="shared" si="3"/>
        <v>7.5424599160943284</v>
      </c>
    </row>
    <row r="65" spans="1:26" s="24" customFormat="1" hidden="1" outlineLevel="1" x14ac:dyDescent="0.25">
      <c r="A65" s="44"/>
      <c r="B65" s="11" t="str">
        <f>CONCATENATE("          ", "4153", " - ", "NON-TAXABLE SALES-FOOD")</f>
        <v xml:space="preserve">          4153 - NON-TAXABLE SALES-FOOD</v>
      </c>
      <c r="C65" s="11"/>
      <c r="D65" s="2">
        <f>--12127.37</f>
        <v>12127.37</v>
      </c>
      <c r="E65" s="2"/>
      <c r="F65" s="19"/>
      <c r="G65" s="2"/>
      <c r="H65" s="2">
        <f>-14477.2</f>
        <v>-14477.2</v>
      </c>
      <c r="I65" s="2"/>
      <c r="J65" s="19"/>
      <c r="K65" s="2"/>
      <c r="L65" s="2">
        <f t="shared" si="0"/>
        <v>26604.57</v>
      </c>
      <c r="M65" s="2"/>
      <c r="N65" s="19">
        <f t="shared" si="1"/>
        <v>-1.8376875362639182</v>
      </c>
      <c r="O65" s="11"/>
      <c r="P65" s="2">
        <f>--44404.7</f>
        <v>44404.7</v>
      </c>
      <c r="Q65" s="2"/>
      <c r="R65" s="19"/>
      <c r="S65" s="2"/>
      <c r="T65" s="2">
        <f>--15876.58</f>
        <v>15876.58</v>
      </c>
      <c r="U65" s="2"/>
      <c r="V65" s="19"/>
      <c r="W65" s="2"/>
      <c r="X65" s="2">
        <f t="shared" si="2"/>
        <v>28528.119999999995</v>
      </c>
      <c r="Y65" s="2"/>
      <c r="Z65" s="19">
        <f t="shared" si="3"/>
        <v>1.7968680912387929</v>
      </c>
    </row>
    <row r="66" spans="1:26" s="24" customFormat="1" hidden="1" outlineLevel="1" x14ac:dyDescent="0.25">
      <c r="A66" s="44"/>
      <c r="B66" s="11" t="str">
        <f>CONCATENATE("          ", "4181", " - ", "NON-TAXABLE SALES-ELECTRONICS")</f>
        <v xml:space="preserve">          4181 - NON-TAXABLE SALES-ELECTRONICS</v>
      </c>
      <c r="C66" s="11"/>
      <c r="D66" s="2">
        <f t="shared" ref="D66:D70" si="15">0</f>
        <v>0</v>
      </c>
      <c r="E66" s="2"/>
      <c r="F66" s="19"/>
      <c r="G66" s="2"/>
      <c r="H66" s="2">
        <f>--194.97</f>
        <v>194.97</v>
      </c>
      <c r="I66" s="2"/>
      <c r="J66" s="19"/>
      <c r="K66" s="2"/>
      <c r="L66" s="2">
        <f t="shared" si="0"/>
        <v>-194.97</v>
      </c>
      <c r="M66" s="2"/>
      <c r="N66" s="19">
        <f t="shared" si="1"/>
        <v>-1</v>
      </c>
      <c r="O66" s="11"/>
      <c r="P66" s="2">
        <f t="shared" ref="P66:P70" si="16">0</f>
        <v>0</v>
      </c>
      <c r="Q66" s="2"/>
      <c r="R66" s="19"/>
      <c r="S66" s="2"/>
      <c r="T66" s="2">
        <f>--3504.13</f>
        <v>3504.13</v>
      </c>
      <c r="U66" s="2"/>
      <c r="V66" s="19"/>
      <c r="W66" s="2"/>
      <c r="X66" s="2">
        <f t="shared" si="2"/>
        <v>-3504.13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"4182", " - ", "NON-TAXABLE SALES-COMPUTER HAR")</f>
        <v xml:space="preserve">          4182 - NON-TAXABLE SALES-COMPUTER HAR</v>
      </c>
      <c r="C67" s="11"/>
      <c r="D67" s="2">
        <f t="shared" si="15"/>
        <v>0</v>
      </c>
      <c r="E67" s="2"/>
      <c r="F67" s="19"/>
      <c r="G67" s="2"/>
      <c r="H67" s="2">
        <f>--24570</f>
        <v>24570</v>
      </c>
      <c r="I67" s="2"/>
      <c r="J67" s="19"/>
      <c r="K67" s="2"/>
      <c r="L67" s="2">
        <f t="shared" si="0"/>
        <v>-24570</v>
      </c>
      <c r="M67" s="2"/>
      <c r="N67" s="19">
        <f t="shared" si="1"/>
        <v>-1</v>
      </c>
      <c r="O67" s="11"/>
      <c r="P67" s="2">
        <f t="shared" si="16"/>
        <v>0</v>
      </c>
      <c r="Q67" s="2"/>
      <c r="R67" s="19"/>
      <c r="S67" s="2"/>
      <c r="T67" s="2">
        <f>--145294.38</f>
        <v>145294.38</v>
      </c>
      <c r="U67" s="2"/>
      <c r="V67" s="19"/>
      <c r="W67" s="2"/>
      <c r="X67" s="2">
        <f t="shared" si="2"/>
        <v>-145294.38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"4183", " - ", "NON-TAXABLE SALES-COMPUTER EQU")</f>
        <v xml:space="preserve">          4183 - NON-TAXABLE SALES-COMPUTER EQU</v>
      </c>
      <c r="C68" s="11"/>
      <c r="D68" s="2">
        <f t="shared" si="15"/>
        <v>0</v>
      </c>
      <c r="E68" s="2"/>
      <c r="F68" s="19"/>
      <c r="G68" s="2"/>
      <c r="H68" s="2">
        <f>--1269.91</f>
        <v>1269.9100000000001</v>
      </c>
      <c r="I68" s="2"/>
      <c r="J68" s="19"/>
      <c r="K68" s="2"/>
      <c r="L68" s="2">
        <f t="shared" si="0"/>
        <v>-1269.9100000000001</v>
      </c>
      <c r="M68" s="2"/>
      <c r="N68" s="19">
        <f t="shared" si="1"/>
        <v>-1</v>
      </c>
      <c r="O68" s="11"/>
      <c r="P68" s="2">
        <f t="shared" si="16"/>
        <v>0</v>
      </c>
      <c r="Q68" s="2"/>
      <c r="R68" s="19"/>
      <c r="S68" s="2"/>
      <c r="T68" s="2">
        <f>--6336.39</f>
        <v>6336.39</v>
      </c>
      <c r="U68" s="2"/>
      <c r="V68" s="19"/>
      <c r="W68" s="2"/>
      <c r="X68" s="2">
        <f t="shared" si="2"/>
        <v>-6336.39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"4185", " - ", "NON-TAXABLE SALES-SOFTWARE")</f>
        <v xml:space="preserve">          4185 - NON-TAXABLE SALES-SOFTWARE</v>
      </c>
      <c r="C69" s="11"/>
      <c r="D69" s="2">
        <f t="shared" si="15"/>
        <v>0</v>
      </c>
      <c r="E69" s="2"/>
      <c r="F69" s="19"/>
      <c r="G69" s="2"/>
      <c r="H69" s="2">
        <f>--4590.76</f>
        <v>4590.76</v>
      </c>
      <c r="I69" s="2"/>
      <c r="J69" s="19"/>
      <c r="K69" s="2"/>
      <c r="L69" s="2">
        <f t="shared" si="0"/>
        <v>-4590.76</v>
      </c>
      <c r="M69" s="2"/>
      <c r="N69" s="19">
        <f t="shared" si="1"/>
        <v>-1</v>
      </c>
      <c r="O69" s="11"/>
      <c r="P69" s="2">
        <f t="shared" si="16"/>
        <v>0</v>
      </c>
      <c r="Q69" s="2"/>
      <c r="R69" s="19"/>
      <c r="S69" s="2"/>
      <c r="T69" s="2">
        <f>--23816.85</f>
        <v>23816.85</v>
      </c>
      <c r="U69" s="2"/>
      <c r="V69" s="19"/>
      <c r="W69" s="2"/>
      <c r="X69" s="2">
        <f t="shared" si="2"/>
        <v>-23816.85</v>
      </c>
      <c r="Y69" s="2"/>
      <c r="Z69" s="19">
        <f t="shared" si="3"/>
        <v>-1</v>
      </c>
    </row>
    <row r="70" spans="1:26" s="24" customFormat="1" hidden="1" outlineLevel="1" x14ac:dyDescent="0.25">
      <c r="A70" s="44"/>
      <c r="B70" s="11" t="str">
        <f>CONCATENATE("          ", "4186", " - ", "NON-TAXABLE SALES-COMPUTER SUP")</f>
        <v xml:space="preserve">          4186 - NON-TAXABLE SALES-COMPUTER SUP</v>
      </c>
      <c r="C70" s="11"/>
      <c r="D70" s="2">
        <f t="shared" si="15"/>
        <v>0</v>
      </c>
      <c r="E70" s="2"/>
      <c r="F70" s="19"/>
      <c r="G70" s="2"/>
      <c r="H70" s="2">
        <f>--855.98</f>
        <v>855.98</v>
      </c>
      <c r="I70" s="2"/>
      <c r="J70" s="19"/>
      <c r="K70" s="2"/>
      <c r="L70" s="2">
        <f t="shared" si="0"/>
        <v>-855.98</v>
      </c>
      <c r="M70" s="2"/>
      <c r="N70" s="19">
        <f t="shared" si="1"/>
        <v>-1</v>
      </c>
      <c r="O70" s="11"/>
      <c r="P70" s="2">
        <f t="shared" si="16"/>
        <v>0</v>
      </c>
      <c r="Q70" s="2"/>
      <c r="R70" s="19"/>
      <c r="S70" s="2"/>
      <c r="T70" s="2">
        <f>--1729.77</f>
        <v>1729.77</v>
      </c>
      <c r="U70" s="2"/>
      <c r="V70" s="19"/>
      <c r="W70" s="2"/>
      <c r="X70" s="2">
        <f t="shared" si="2"/>
        <v>-1729.77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"4200", " - ", "TAXABLE RETURNS")</f>
        <v xml:space="preserve">          4200 - TAXABLE RETURNS</v>
      </c>
      <c r="C71" s="11"/>
      <c r="D71" s="2">
        <f>-42133.25</f>
        <v>-42133.25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-42133.25</v>
      </c>
      <c r="M71" s="2"/>
      <c r="N71" s="19">
        <f t="shared" si="1"/>
        <v>0</v>
      </c>
      <c r="O71" s="11"/>
      <c r="P71" s="2">
        <f>-170760.32</f>
        <v>-170760.32000000001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-170760.32000000001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 t="shared" ref="D72:D88" si="17">0</f>
        <v>0</v>
      </c>
      <c r="E72" s="2"/>
      <c r="F72" s="19"/>
      <c r="G72" s="2"/>
      <c r="H72" s="2">
        <f>-1512.25</f>
        <v>-1512.25</v>
      </c>
      <c r="I72" s="2"/>
      <c r="J72" s="19"/>
      <c r="K72" s="2"/>
      <c r="L72" s="2">
        <f t="shared" si="0"/>
        <v>1512.25</v>
      </c>
      <c r="M72" s="2"/>
      <c r="N72" s="19">
        <f t="shared" si="1"/>
        <v>-1</v>
      </c>
      <c r="O72" s="11"/>
      <c r="P72" s="2">
        <f t="shared" ref="P72:P88" si="18">0</f>
        <v>0</v>
      </c>
      <c r="Q72" s="2"/>
      <c r="R72" s="19"/>
      <c r="S72" s="2"/>
      <c r="T72" s="2">
        <f>-33761.24</f>
        <v>-33761.24</v>
      </c>
      <c r="U72" s="2"/>
      <c r="V72" s="19"/>
      <c r="W72" s="2"/>
      <c r="X72" s="2">
        <f t="shared" si="2"/>
        <v>33761.24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 t="shared" si="17"/>
        <v>0</v>
      </c>
      <c r="E73" s="2"/>
      <c r="F73" s="19"/>
      <c r="G73" s="2"/>
      <c r="H73" s="2">
        <f>-136.05</f>
        <v>-136.05000000000001</v>
      </c>
      <c r="I73" s="2"/>
      <c r="J73" s="19"/>
      <c r="K73" s="2"/>
      <c r="L73" s="2">
        <f t="shared" si="0"/>
        <v>136.05000000000001</v>
      </c>
      <c r="M73" s="2"/>
      <c r="N73" s="19">
        <f t="shared" si="1"/>
        <v>-1</v>
      </c>
      <c r="O73" s="11"/>
      <c r="P73" s="2">
        <f t="shared" si="18"/>
        <v>0</v>
      </c>
      <c r="Q73" s="2"/>
      <c r="R73" s="19"/>
      <c r="S73" s="2"/>
      <c r="T73" s="2">
        <f>-10529</f>
        <v>-10529</v>
      </c>
      <c r="U73" s="2"/>
      <c r="V73" s="19"/>
      <c r="W73" s="2"/>
      <c r="X73" s="2">
        <f t="shared" si="2"/>
        <v>10529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"4204", " - ", "SALES RETURN TAXABLE-DIGITAL T")</f>
        <v xml:space="preserve">          4204 - SALES RETURN TAXABLE-DIGITAL T</v>
      </c>
      <c r="C74" s="11"/>
      <c r="D74" s="2">
        <f t="shared" si="17"/>
        <v>0</v>
      </c>
      <c r="E74" s="2"/>
      <c r="F74" s="19"/>
      <c r="G74" s="2"/>
      <c r="H74" s="2">
        <f>-383.9</f>
        <v>-383.9</v>
      </c>
      <c r="I74" s="2"/>
      <c r="J74" s="19"/>
      <c r="K74" s="2"/>
      <c r="L74" s="2">
        <f t="shared" si="0"/>
        <v>383.9</v>
      </c>
      <c r="M74" s="2"/>
      <c r="N74" s="19">
        <f t="shared" si="1"/>
        <v>-1</v>
      </c>
      <c r="O74" s="11"/>
      <c r="P74" s="2">
        <f t="shared" si="18"/>
        <v>0</v>
      </c>
      <c r="Q74" s="2"/>
      <c r="R74" s="19"/>
      <c r="S74" s="2"/>
      <c r="T74" s="2">
        <f>-1630.85</f>
        <v>-1630.85</v>
      </c>
      <c r="U74" s="2"/>
      <c r="V74" s="19"/>
      <c r="W74" s="2"/>
      <c r="X74" s="2">
        <f t="shared" si="2"/>
        <v>1630.85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"4226", " - ", "SALES RETURN TAXABLE-WRITING I")</f>
        <v xml:space="preserve">          4226 - SALES RETURN TAXABLE-WRITING I</v>
      </c>
      <c r="C75" s="11"/>
      <c r="D75" s="2">
        <f t="shared" si="17"/>
        <v>0</v>
      </c>
      <c r="E75" s="2"/>
      <c r="F75" s="19"/>
      <c r="G75" s="2"/>
      <c r="H75" s="2">
        <f>-5.36</f>
        <v>-5.36</v>
      </c>
      <c r="I75" s="2"/>
      <c r="J75" s="19"/>
      <c r="K75" s="2"/>
      <c r="L75" s="2">
        <f t="shared" si="0"/>
        <v>5.36</v>
      </c>
      <c r="M75" s="2"/>
      <c r="N75" s="19">
        <f t="shared" si="1"/>
        <v>-1</v>
      </c>
      <c r="O75" s="11"/>
      <c r="P75" s="2">
        <f t="shared" si="18"/>
        <v>0</v>
      </c>
      <c r="Q75" s="2"/>
      <c r="R75" s="19"/>
      <c r="S75" s="2"/>
      <c r="T75" s="2">
        <f>-34.23</f>
        <v>-34.229999999999997</v>
      </c>
      <c r="U75" s="2"/>
      <c r="V75" s="19"/>
      <c r="W75" s="2"/>
      <c r="X75" s="2">
        <f t="shared" si="2"/>
        <v>34.229999999999997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"4227", " - ", "SALES RETURN TAXABLE-SCHOOL SU")</f>
        <v xml:space="preserve">          4227 - SALES RETURN TAXABLE-SCHOOL SU</v>
      </c>
      <c r="C76" s="11"/>
      <c r="D76" s="2">
        <f t="shared" si="17"/>
        <v>0</v>
      </c>
      <c r="E76" s="2"/>
      <c r="F76" s="19"/>
      <c r="G76" s="2"/>
      <c r="H76" s="2">
        <f>-9.99</f>
        <v>-9.99</v>
      </c>
      <c r="I76" s="2"/>
      <c r="J76" s="19"/>
      <c r="K76" s="2"/>
      <c r="L76" s="2">
        <f t="shared" si="0"/>
        <v>9.99</v>
      </c>
      <c r="M76" s="2"/>
      <c r="N76" s="19">
        <f t="shared" si="1"/>
        <v>-1</v>
      </c>
      <c r="O76" s="11"/>
      <c r="P76" s="2">
        <f t="shared" si="18"/>
        <v>0</v>
      </c>
      <c r="Q76" s="2"/>
      <c r="R76" s="19"/>
      <c r="S76" s="2"/>
      <c r="T76" s="2">
        <f>-578.66</f>
        <v>-578.66</v>
      </c>
      <c r="U76" s="2"/>
      <c r="V76" s="19"/>
      <c r="W76" s="2"/>
      <c r="X76" s="2">
        <f t="shared" si="2"/>
        <v>578.66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"4228", " - ", "SALES RETURN TAXABLE-ART/TECH")</f>
        <v xml:space="preserve">          4228 - SALES RETURN TAXABLE-ART/TECH</v>
      </c>
      <c r="C77" s="11"/>
      <c r="D77" s="2">
        <f t="shared" si="17"/>
        <v>0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 t="shared" si="18"/>
        <v>0</v>
      </c>
      <c r="Q77" s="2"/>
      <c r="R77" s="19"/>
      <c r="S77" s="2"/>
      <c r="T77" s="2">
        <f>-222.2</f>
        <v>-222.2</v>
      </c>
      <c r="U77" s="2"/>
      <c r="V77" s="19"/>
      <c r="W77" s="2"/>
      <c r="X77" s="2">
        <f t="shared" si="2"/>
        <v>222.2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"4240", " - ", "SALES RETURN TAXABLE-LOGO CLOT")</f>
        <v xml:space="preserve">          4240 - SALES RETURN TAXABLE-LOGO CLOT</v>
      </c>
      <c r="C78" s="11"/>
      <c r="D78" s="2">
        <f t="shared" si="17"/>
        <v>0</v>
      </c>
      <c r="E78" s="2"/>
      <c r="F78" s="19"/>
      <c r="G78" s="2"/>
      <c r="H78" s="2">
        <f>-2239.56</f>
        <v>-2239.56</v>
      </c>
      <c r="I78" s="2"/>
      <c r="J78" s="19"/>
      <c r="K78" s="2"/>
      <c r="L78" s="2">
        <f t="shared" si="0"/>
        <v>2239.56</v>
      </c>
      <c r="M78" s="2"/>
      <c r="N78" s="19">
        <f t="shared" si="1"/>
        <v>-1</v>
      </c>
      <c r="O78" s="11"/>
      <c r="P78" s="2">
        <f t="shared" si="18"/>
        <v>0</v>
      </c>
      <c r="Q78" s="2"/>
      <c r="R78" s="19"/>
      <c r="S78" s="2"/>
      <c r="T78" s="2">
        <f>-13849.52</f>
        <v>-13849.52</v>
      </c>
      <c r="U78" s="2"/>
      <c r="V78" s="19"/>
      <c r="W78" s="2"/>
      <c r="X78" s="2">
        <f t="shared" si="2"/>
        <v>13849.52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"4241", " - ", "SALES RETURN TAXABLE-LOGO GIFT")</f>
        <v xml:space="preserve">          4241 - SALES RETURN TAXABLE-LOGO GIFT</v>
      </c>
      <c r="C79" s="11"/>
      <c r="D79" s="2">
        <f t="shared" si="17"/>
        <v>0</v>
      </c>
      <c r="E79" s="2"/>
      <c r="F79" s="19"/>
      <c r="G79" s="2"/>
      <c r="H79" s="2">
        <f>-379.45</f>
        <v>-379.45</v>
      </c>
      <c r="I79" s="2"/>
      <c r="J79" s="19"/>
      <c r="K79" s="2"/>
      <c r="L79" s="2">
        <f t="shared" si="0"/>
        <v>379.45</v>
      </c>
      <c r="M79" s="2"/>
      <c r="N79" s="19">
        <f t="shared" si="1"/>
        <v>-1</v>
      </c>
      <c r="O79" s="11"/>
      <c r="P79" s="2">
        <f t="shared" si="18"/>
        <v>0</v>
      </c>
      <c r="Q79" s="2"/>
      <c r="R79" s="19"/>
      <c r="S79" s="2"/>
      <c r="T79" s="2">
        <f>-2696.56</f>
        <v>-2696.56</v>
      </c>
      <c r="U79" s="2"/>
      <c r="V79" s="19"/>
      <c r="W79" s="2"/>
      <c r="X79" s="2">
        <f t="shared" si="2"/>
        <v>2696.56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"4242", " - ", "SALES RETURN TAXABLE-EVERYDAY")</f>
        <v xml:space="preserve">          4242 - SALES RETURN TAXABLE-EVERYDAY</v>
      </c>
      <c r="C80" s="11"/>
      <c r="D80" s="2">
        <f t="shared" si="17"/>
        <v>0</v>
      </c>
      <c r="E80" s="2"/>
      <c r="F80" s="19"/>
      <c r="G80" s="2"/>
      <c r="H80" s="2">
        <f>-266.95</f>
        <v>-266.95</v>
      </c>
      <c r="I80" s="2"/>
      <c r="J80" s="19"/>
      <c r="K80" s="2"/>
      <c r="L80" s="2">
        <f t="shared" si="0"/>
        <v>266.95</v>
      </c>
      <c r="M80" s="2"/>
      <c r="N80" s="19">
        <f t="shared" si="1"/>
        <v>-1</v>
      </c>
      <c r="O80" s="11"/>
      <c r="P80" s="2">
        <f t="shared" si="18"/>
        <v>0</v>
      </c>
      <c r="Q80" s="2"/>
      <c r="R80" s="19"/>
      <c r="S80" s="2"/>
      <c r="T80" s="2">
        <f>-1321.51</f>
        <v>-1321.51</v>
      </c>
      <c r="U80" s="2"/>
      <c r="V80" s="19"/>
      <c r="W80" s="2"/>
      <c r="X80" s="2">
        <f t="shared" si="2"/>
        <v>1321.51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"4243", " - ", "SALES RETURN TAXABLE-CARDS")</f>
        <v xml:space="preserve">          4243 - SALES RETURN TAXABLE-CARDS</v>
      </c>
      <c r="C81" s="11"/>
      <c r="D81" s="2">
        <f t="shared" si="17"/>
        <v>0</v>
      </c>
      <c r="E81" s="2"/>
      <c r="F81" s="19"/>
      <c r="G81" s="2"/>
      <c r="H81" s="2">
        <f>-829.55</f>
        <v>-829.55</v>
      </c>
      <c r="I81" s="2"/>
      <c r="J81" s="19"/>
      <c r="K81" s="2"/>
      <c r="L81" s="2">
        <f t="shared" si="0"/>
        <v>829.55</v>
      </c>
      <c r="M81" s="2"/>
      <c r="N81" s="19">
        <f t="shared" si="1"/>
        <v>-1</v>
      </c>
      <c r="O81" s="11"/>
      <c r="P81" s="2">
        <f t="shared" si="18"/>
        <v>0</v>
      </c>
      <c r="Q81" s="2"/>
      <c r="R81" s="19"/>
      <c r="S81" s="2"/>
      <c r="T81" s="2">
        <f>-982.92</f>
        <v>-982.92</v>
      </c>
      <c r="U81" s="2"/>
      <c r="V81" s="19"/>
      <c r="W81" s="2"/>
      <c r="X81" s="2">
        <f t="shared" si="2"/>
        <v>982.92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"4244", " - ", "SALES RETURN TAXABLE-ACCESSORI")</f>
        <v xml:space="preserve">          4244 - SALES RETURN TAXABLE-ACCESSORI</v>
      </c>
      <c r="C82" s="11"/>
      <c r="D82" s="2">
        <f t="shared" si="17"/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 t="shared" si="18"/>
        <v>0</v>
      </c>
      <c r="Q82" s="2"/>
      <c r="R82" s="19"/>
      <c r="S82" s="2"/>
      <c r="T82" s="2">
        <f>-410.99</f>
        <v>-410.99</v>
      </c>
      <c r="U82" s="2"/>
      <c r="V82" s="19"/>
      <c r="W82" s="2"/>
      <c r="X82" s="2">
        <f t="shared" si="2"/>
        <v>410.99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"4245", " - ", "SALES RETURN TAXABLE-SPECIAL O")</f>
        <v xml:space="preserve">          4245 - SALES RETURN TAXABLE-SPECIAL O</v>
      </c>
      <c r="C83" s="11"/>
      <c r="D83" s="2">
        <f t="shared" si="17"/>
        <v>0</v>
      </c>
      <c r="E83" s="2"/>
      <c r="F83" s="19"/>
      <c r="G83" s="2"/>
      <c r="H83" s="2">
        <f>-363.98</f>
        <v>-363.98</v>
      </c>
      <c r="I83" s="2"/>
      <c r="J83" s="19"/>
      <c r="K83" s="2"/>
      <c r="L83" s="2">
        <f t="shared" si="0"/>
        <v>363.98</v>
      </c>
      <c r="M83" s="2"/>
      <c r="N83" s="19">
        <f t="shared" si="1"/>
        <v>-1</v>
      </c>
      <c r="O83" s="11"/>
      <c r="P83" s="2">
        <f t="shared" si="18"/>
        <v>0</v>
      </c>
      <c r="Q83" s="2"/>
      <c r="R83" s="19"/>
      <c r="S83" s="2"/>
      <c r="T83" s="2">
        <f>-1546.93</f>
        <v>-1546.93</v>
      </c>
      <c r="U83" s="2"/>
      <c r="V83" s="19"/>
      <c r="W83" s="2"/>
      <c r="X83" s="2">
        <f t="shared" si="2"/>
        <v>1546.93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"4281", " - ", "SALES RETURN TAXABLE-ELECTRONI")</f>
        <v xml:space="preserve">          4281 - SALES RETURN TAXABLE-ELECTRONI</v>
      </c>
      <c r="C84" s="11"/>
      <c r="D84" s="2">
        <f t="shared" si="17"/>
        <v>0</v>
      </c>
      <c r="E84" s="2"/>
      <c r="F84" s="19"/>
      <c r="G84" s="2"/>
      <c r="H84" s="2">
        <f>-357.99</f>
        <v>-357.99</v>
      </c>
      <c r="I84" s="2"/>
      <c r="J84" s="19"/>
      <c r="K84" s="2"/>
      <c r="L84" s="2">
        <f t="shared" si="0"/>
        <v>357.99</v>
      </c>
      <c r="M84" s="2"/>
      <c r="N84" s="19">
        <f t="shared" si="1"/>
        <v>-1</v>
      </c>
      <c r="O84" s="11"/>
      <c r="P84" s="2">
        <f t="shared" si="18"/>
        <v>0</v>
      </c>
      <c r="Q84" s="2"/>
      <c r="R84" s="19"/>
      <c r="S84" s="2"/>
      <c r="T84" s="2">
        <f>-14632.15</f>
        <v>-14632.15</v>
      </c>
      <c r="U84" s="2"/>
      <c r="V84" s="19"/>
      <c r="W84" s="2"/>
      <c r="X84" s="2">
        <f t="shared" si="2"/>
        <v>14632.15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"4282", " - ", "SALES RETURN TAXABLE-COMPUTER")</f>
        <v xml:space="preserve">          4282 - SALES RETURN TAXABLE-COMPUTER</v>
      </c>
      <c r="C85" s="11"/>
      <c r="D85" s="2">
        <f t="shared" si="17"/>
        <v>0</v>
      </c>
      <c r="E85" s="2"/>
      <c r="F85" s="19"/>
      <c r="G85" s="2"/>
      <c r="H85" s="2">
        <f>-20038</f>
        <v>-20038</v>
      </c>
      <c r="I85" s="2"/>
      <c r="J85" s="19"/>
      <c r="K85" s="2"/>
      <c r="L85" s="2">
        <f t="shared" si="0"/>
        <v>20038</v>
      </c>
      <c r="M85" s="2"/>
      <c r="N85" s="19">
        <f t="shared" si="1"/>
        <v>-1</v>
      </c>
      <c r="O85" s="11"/>
      <c r="P85" s="2">
        <f t="shared" si="18"/>
        <v>0</v>
      </c>
      <c r="Q85" s="2"/>
      <c r="R85" s="19"/>
      <c r="S85" s="2"/>
      <c r="T85" s="2">
        <f>-68323</f>
        <v>-68323</v>
      </c>
      <c r="U85" s="2"/>
      <c r="V85" s="19"/>
      <c r="W85" s="2"/>
      <c r="X85" s="2">
        <f t="shared" si="2"/>
        <v>68323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"4283", " - ", "SALES RETURN TAXABLE-COMPUTER")</f>
        <v xml:space="preserve">          4283 - SALES RETURN TAXABLE-COMPUTER</v>
      </c>
      <c r="C86" s="11"/>
      <c r="D86" s="2">
        <f t="shared" si="17"/>
        <v>0</v>
      </c>
      <c r="E86" s="2"/>
      <c r="F86" s="19"/>
      <c r="G86" s="2"/>
      <c r="H86" s="2">
        <f>-629.58</f>
        <v>-629.58000000000004</v>
      </c>
      <c r="I86" s="2"/>
      <c r="J86" s="19"/>
      <c r="K86" s="2"/>
      <c r="L86" s="2">
        <f t="shared" si="0"/>
        <v>629.58000000000004</v>
      </c>
      <c r="M86" s="2"/>
      <c r="N86" s="19">
        <f t="shared" si="1"/>
        <v>-1</v>
      </c>
      <c r="O86" s="11"/>
      <c r="P86" s="2">
        <f t="shared" si="18"/>
        <v>0</v>
      </c>
      <c r="Q86" s="2"/>
      <c r="R86" s="19"/>
      <c r="S86" s="2"/>
      <c r="T86" s="2">
        <f>-2632.31</f>
        <v>-2632.31</v>
      </c>
      <c r="U86" s="2"/>
      <c r="V86" s="19"/>
      <c r="W86" s="2"/>
      <c r="X86" s="2">
        <f t="shared" si="2"/>
        <v>2632.31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"4285", " - ", "SALES RETURN TAXABLE-SOFTWARE")</f>
        <v xml:space="preserve">          4285 - SALES RETURN TAXABLE-SOFTWARE</v>
      </c>
      <c r="C87" s="11"/>
      <c r="D87" s="2">
        <f t="shared" si="17"/>
        <v>0</v>
      </c>
      <c r="E87" s="2"/>
      <c r="F87" s="19"/>
      <c r="G87" s="2"/>
      <c r="H87" s="2">
        <f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 t="shared" si="18"/>
        <v>0</v>
      </c>
      <c r="Q87" s="2"/>
      <c r="R87" s="19"/>
      <c r="S87" s="2"/>
      <c r="T87" s="2">
        <f>-552.98</f>
        <v>-552.98</v>
      </c>
      <c r="U87" s="2"/>
      <c r="V87" s="19"/>
      <c r="W87" s="2"/>
      <c r="X87" s="2">
        <f t="shared" si="2"/>
        <v>552.98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"4286", " - ", "SALES RETURN TAXABLE-COMPUTER")</f>
        <v xml:space="preserve">          4286 - SALES RETURN TAXABLE-COMPUTER</v>
      </c>
      <c r="C88" s="11"/>
      <c r="D88" s="2">
        <f t="shared" si="17"/>
        <v>0</v>
      </c>
      <c r="E88" s="2"/>
      <c r="F88" s="19"/>
      <c r="G88" s="2"/>
      <c r="H88" s="2">
        <f>-158.96</f>
        <v>-158.96</v>
      </c>
      <c r="I88" s="2"/>
      <c r="J88" s="19"/>
      <c r="K88" s="2"/>
      <c r="L88" s="2">
        <f t="shared" si="0"/>
        <v>158.96</v>
      </c>
      <c r="M88" s="2"/>
      <c r="N88" s="19">
        <f t="shared" si="1"/>
        <v>-1</v>
      </c>
      <c r="O88" s="11"/>
      <c r="P88" s="2">
        <f t="shared" si="18"/>
        <v>0</v>
      </c>
      <c r="Q88" s="2"/>
      <c r="R88" s="19"/>
      <c r="S88" s="2"/>
      <c r="T88" s="2">
        <f>-571.36</f>
        <v>-571.36</v>
      </c>
      <c r="U88" s="2"/>
      <c r="V88" s="19"/>
      <c r="W88" s="2"/>
      <c r="X88" s="2">
        <f t="shared" si="2"/>
        <v>571.36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"4300", " - ", "NON-TAX RETURNS")</f>
        <v xml:space="preserve">          4300 - NON-TAX RETURNS</v>
      </c>
      <c r="C89" s="11"/>
      <c r="D89" s="2">
        <f>-5693.23</f>
        <v>-5693.23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-5693.23</v>
      </c>
      <c r="M89" s="2"/>
      <c r="N89" s="19">
        <f t="shared" si="1"/>
        <v>0</v>
      </c>
      <c r="O89" s="11"/>
      <c r="P89" s="2">
        <f>-26489.27</f>
        <v>-26489.27</v>
      </c>
      <c r="Q89" s="2"/>
      <c r="R89" s="19"/>
      <c r="S89" s="2"/>
      <c r="T89" s="2">
        <f>0</f>
        <v>0</v>
      </c>
      <c r="U89" s="2"/>
      <c r="V89" s="19"/>
      <c r="W89" s="2"/>
      <c r="X89" s="2">
        <f t="shared" si="2"/>
        <v>-26489.27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"4301", " - ", "SALES RETURN NON TAXABLE-NEW T")</f>
        <v xml:space="preserve">          4301 - SALES RETURN NON TAXABLE-NEW T</v>
      </c>
      <c r="C90" s="11"/>
      <c r="D90" s="2">
        <f t="shared" ref="D90:D96" si="19">0</f>
        <v>0</v>
      </c>
      <c r="E90" s="2"/>
      <c r="F90" s="19"/>
      <c r="G90" s="2"/>
      <c r="H90" s="2">
        <f>-535.49</f>
        <v>-535.49</v>
      </c>
      <c r="I90" s="2"/>
      <c r="J90" s="19"/>
      <c r="K90" s="2"/>
      <c r="L90" s="2">
        <f t="shared" si="0"/>
        <v>535.49</v>
      </c>
      <c r="M90" s="2"/>
      <c r="N90" s="19">
        <f t="shared" si="1"/>
        <v>-1</v>
      </c>
      <c r="O90" s="11"/>
      <c r="P90" s="2">
        <f t="shared" ref="P90:P96" si="20">0</f>
        <v>0</v>
      </c>
      <c r="Q90" s="2"/>
      <c r="R90" s="19"/>
      <c r="S90" s="2"/>
      <c r="T90" s="2">
        <f>-2376.17</f>
        <v>-2376.17</v>
      </c>
      <c r="U90" s="2"/>
      <c r="V90" s="19"/>
      <c r="W90" s="2"/>
      <c r="X90" s="2">
        <f t="shared" si="2"/>
        <v>2376.17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"4302", " - ", "SALES RETURN NON TAXABLE-TEXT")</f>
        <v xml:space="preserve">          4302 - SALES RETURN NON TAXABLE-TEXT</v>
      </c>
      <c r="C91" s="11"/>
      <c r="D91" s="2">
        <f t="shared" si="19"/>
        <v>0</v>
      </c>
      <c r="E91" s="2"/>
      <c r="F91" s="19"/>
      <c r="G91" s="2"/>
      <c r="H91" s="2">
        <f>-169.72</f>
        <v>-169.72</v>
      </c>
      <c r="I91" s="2"/>
      <c r="J91" s="19"/>
      <c r="K91" s="2"/>
      <c r="L91" s="2">
        <f t="shared" si="0"/>
        <v>169.72</v>
      </c>
      <c r="M91" s="2"/>
      <c r="N91" s="19">
        <f t="shared" si="1"/>
        <v>-1</v>
      </c>
      <c r="O91" s="11"/>
      <c r="P91" s="2">
        <f t="shared" si="20"/>
        <v>0</v>
      </c>
      <c r="Q91" s="2"/>
      <c r="R91" s="19"/>
      <c r="S91" s="2"/>
      <c r="T91" s="2">
        <f>-1316.8</f>
        <v>-1316.8</v>
      </c>
      <c r="U91" s="2"/>
      <c r="V91" s="19"/>
      <c r="W91" s="2"/>
      <c r="X91" s="2">
        <f t="shared" si="2"/>
        <v>1316.8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"4304", " - ", "SALES RETURN NON TAXABLE-DIGIT")</f>
        <v xml:space="preserve">          4304 - SALES RETURN NON TAXABLE-DIGIT</v>
      </c>
      <c r="C92" s="11"/>
      <c r="D92" s="2">
        <f t="shared" si="19"/>
        <v>0</v>
      </c>
      <c r="E92" s="2"/>
      <c r="F92" s="19"/>
      <c r="G92" s="2"/>
      <c r="H92" s="2">
        <f>-692.75</f>
        <v>-692.75</v>
      </c>
      <c r="I92" s="2"/>
      <c r="J92" s="19"/>
      <c r="K92" s="2"/>
      <c r="L92" s="2">
        <f t="shared" si="0"/>
        <v>692.75</v>
      </c>
      <c r="M92" s="2"/>
      <c r="N92" s="19">
        <f t="shared" si="1"/>
        <v>-1</v>
      </c>
      <c r="O92" s="11"/>
      <c r="P92" s="2">
        <f t="shared" si="20"/>
        <v>0</v>
      </c>
      <c r="Q92" s="2"/>
      <c r="R92" s="19"/>
      <c r="S92" s="2"/>
      <c r="T92" s="2">
        <f>-14102.11</f>
        <v>-14102.11</v>
      </c>
      <c r="U92" s="2"/>
      <c r="V92" s="19"/>
      <c r="W92" s="2"/>
      <c r="X92" s="2">
        <f t="shared" si="2"/>
        <v>14102.11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"4340", " - ", "SALES RETURN NON TAXABLE-LOGO")</f>
        <v xml:space="preserve">          4340 - SALES RETURN NON TAXABLE-LOGO</v>
      </c>
      <c r="C93" s="11"/>
      <c r="D93" s="2">
        <f t="shared" si="19"/>
        <v>0</v>
      </c>
      <c r="E93" s="2"/>
      <c r="F93" s="19"/>
      <c r="G93" s="2"/>
      <c r="H93" s="2">
        <f>-195.69</f>
        <v>-195.69</v>
      </c>
      <c r="I93" s="2"/>
      <c r="J93" s="19"/>
      <c r="K93" s="2"/>
      <c r="L93" s="2">
        <f t="shared" si="0"/>
        <v>195.69</v>
      </c>
      <c r="M93" s="2"/>
      <c r="N93" s="19">
        <f t="shared" si="1"/>
        <v>-1</v>
      </c>
      <c r="O93" s="11"/>
      <c r="P93" s="2">
        <f t="shared" si="20"/>
        <v>0</v>
      </c>
      <c r="Q93" s="2"/>
      <c r="R93" s="19"/>
      <c r="S93" s="2"/>
      <c r="T93" s="2">
        <f>-736.73</f>
        <v>-736.73</v>
      </c>
      <c r="U93" s="2"/>
      <c r="V93" s="19"/>
      <c r="W93" s="2"/>
      <c r="X93" s="2">
        <f t="shared" si="2"/>
        <v>736.73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"4341", " - ", "SALES RETURN NON TAXABLE-LOGO")</f>
        <v xml:space="preserve">          4341 - SALES RETURN NON TAXABLE-LOGO</v>
      </c>
      <c r="C94" s="11"/>
      <c r="D94" s="2">
        <f t="shared" si="19"/>
        <v>0</v>
      </c>
      <c r="E94" s="2"/>
      <c r="F94" s="19"/>
      <c r="G94" s="2"/>
      <c r="H94" s="2">
        <f t="shared" ref="H94:H97" si="21"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 t="shared" si="20"/>
        <v>0</v>
      </c>
      <c r="Q94" s="2"/>
      <c r="R94" s="19"/>
      <c r="S94" s="2"/>
      <c r="T94" s="2">
        <f>-146.9</f>
        <v>-146.9</v>
      </c>
      <c r="U94" s="2"/>
      <c r="V94" s="19"/>
      <c r="W94" s="2"/>
      <c r="X94" s="2">
        <f t="shared" si="2"/>
        <v>146.9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"4342", " - ", "SALES RETURN NON TAXABLE-EVERY")</f>
        <v xml:space="preserve">          4342 - SALES RETURN NON TAXABLE-EVERY</v>
      </c>
      <c r="C95" s="11"/>
      <c r="D95" s="2">
        <f t="shared" si="19"/>
        <v>0</v>
      </c>
      <c r="E95" s="2"/>
      <c r="F95" s="19"/>
      <c r="G95" s="2"/>
      <c r="H95" s="2">
        <f t="shared" si="21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 t="shared" si="20"/>
        <v>0</v>
      </c>
      <c r="Q95" s="2"/>
      <c r="R95" s="19"/>
      <c r="S95" s="2"/>
      <c r="T95" s="2">
        <f>-118.7</f>
        <v>-118.7</v>
      </c>
      <c r="U95" s="2"/>
      <c r="V95" s="19"/>
      <c r="W95" s="2"/>
      <c r="X95" s="2">
        <f t="shared" si="2"/>
        <v>118.7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"4381", " - ", "SALES RETURN NON TAXABLE-ELECT")</f>
        <v xml:space="preserve">          4381 - SALES RETURN NON TAXABLE-ELECT</v>
      </c>
      <c r="C96" s="11"/>
      <c r="D96" s="2">
        <f t="shared" si="19"/>
        <v>0</v>
      </c>
      <c r="E96" s="2"/>
      <c r="F96" s="19"/>
      <c r="G96" s="2"/>
      <c r="H96" s="2">
        <f t="shared" si="21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si="20"/>
        <v>0</v>
      </c>
      <c r="Q96" s="2"/>
      <c r="R96" s="19"/>
      <c r="S96" s="2"/>
      <c r="T96" s="2">
        <f>-5624.15</f>
        <v>-5624.15</v>
      </c>
      <c r="U96" s="2"/>
      <c r="V96" s="19"/>
      <c r="W96" s="2"/>
      <c r="X96" s="2">
        <f t="shared" si="2"/>
        <v>5624.15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"4500", " - ", "SALES DISCOUNT")</f>
        <v xml:space="preserve">          4500 - SALES DISCOUNT</v>
      </c>
      <c r="C97" s="11"/>
      <c r="D97" s="2">
        <f>-7663.09</f>
        <v>-7663.09</v>
      </c>
      <c r="E97" s="2"/>
      <c r="F97" s="19"/>
      <c r="G97" s="2"/>
      <c r="H97" s="2">
        <f t="shared" si="21"/>
        <v>0</v>
      </c>
      <c r="I97" s="2"/>
      <c r="J97" s="19"/>
      <c r="K97" s="2"/>
      <c r="L97" s="2">
        <f t="shared" si="0"/>
        <v>-7663.09</v>
      </c>
      <c r="M97" s="2"/>
      <c r="N97" s="19">
        <f t="shared" si="1"/>
        <v>0</v>
      </c>
      <c r="O97" s="11"/>
      <c r="P97" s="2">
        <f>-7663.09</f>
        <v>-7663.09</v>
      </c>
      <c r="Q97" s="2"/>
      <c r="R97" s="19"/>
      <c r="S97" s="2"/>
      <c r="T97" s="2">
        <f>0</f>
        <v>0</v>
      </c>
      <c r="U97" s="2"/>
      <c r="V97" s="19"/>
      <c r="W97" s="2"/>
      <c r="X97" s="2">
        <f t="shared" si="2"/>
        <v>-7663.09</v>
      </c>
      <c r="Y97" s="2"/>
      <c r="Z97" s="19">
        <f t="shared" si="3"/>
        <v>0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collapsed="1" x14ac:dyDescent="0.25">
      <c r="A99" s="10"/>
      <c r="B99" s="25" t="s">
        <v>256</v>
      </c>
      <c r="C99" s="10"/>
      <c r="D99" s="4">
        <f>SUM(OSRRefD16x_0)</f>
        <v>975886.2300000001</v>
      </c>
      <c r="E99" s="4"/>
      <c r="F99" s="12">
        <f t="shared" ref="F99:F146" si="22">IF(D$12=0,0,D99/D$12)</f>
        <v>0.38587689383056584</v>
      </c>
      <c r="G99" s="4"/>
      <c r="H99" s="4">
        <f>SUM(OSRRefH16x_0)</f>
        <v>333634.33</v>
      </c>
      <c r="I99" s="4"/>
      <c r="J99" s="12">
        <f t="shared" ref="J99:J146" si="23">IF(H$12=0,0,H99/H$12)</f>
        <v>0.49050848337253966</v>
      </c>
      <c r="K99" s="4"/>
      <c r="L99" s="4">
        <f t="shared" ref="L99:L146" si="24">+D99-H99</f>
        <v>642251.90000000014</v>
      </c>
      <c r="M99" s="4"/>
      <c r="N99" s="12">
        <f t="shared" ref="N99:N146" si="25">IF(H99=0,0,L99/H99)</f>
        <v>1.9250174285122281</v>
      </c>
      <c r="O99" s="10"/>
      <c r="P99" s="4">
        <f>SUM(OSRRefP16x_0)</f>
        <v>3603181.2899999991</v>
      </c>
      <c r="Q99" s="4"/>
      <c r="R99" s="12">
        <f t="shared" ref="R99:R146" si="26">IF(P$12=0,0,P99/P$12)</f>
        <v>0.45776222460546412</v>
      </c>
      <c r="S99" s="4"/>
      <c r="T99" s="4">
        <f>SUM(OSRRefT16x_0)</f>
        <v>2817354.5100000012</v>
      </c>
      <c r="U99" s="4"/>
      <c r="V99" s="12">
        <f t="shared" ref="V99:V146" si="27">IF(T$12=0,0,T99/T$12)</f>
        <v>0.66074940859111908</v>
      </c>
      <c r="W99" s="4"/>
      <c r="X99" s="4">
        <f t="shared" ref="X99:X146" si="28">+P99-T99</f>
        <v>785826.77999999793</v>
      </c>
      <c r="Y99" s="4"/>
      <c r="Z99" s="12">
        <f t="shared" ref="Z99:Z146" si="29">IF(T99=0,0,X99/T99)</f>
        <v>0.27892364173935558</v>
      </c>
    </row>
    <row r="100" spans="1:26" s="24" customFormat="1" hidden="1" outlineLevel="1" x14ac:dyDescent="0.25">
      <c r="A100" s="44"/>
      <c r="B100" s="11" t="str">
        <f>CONCATENATE("          ", "5000", " - ", "PURCHASES @ COST")</f>
        <v xml:space="preserve">          5000 - PURCHASES @ COST</v>
      </c>
      <c r="C100" s="11"/>
      <c r="D100" s="2">
        <v>879528.49</v>
      </c>
      <c r="E100" s="2"/>
      <c r="F100" s="19">
        <f t="shared" si="22"/>
        <v>0.34777591006349978</v>
      </c>
      <c r="G100" s="2"/>
      <c r="H100" s="2">
        <v>0</v>
      </c>
      <c r="I100" s="2"/>
      <c r="J100" s="19">
        <f t="shared" si="23"/>
        <v>0</v>
      </c>
      <c r="K100" s="2"/>
      <c r="L100" s="2">
        <f t="shared" si="24"/>
        <v>879528.49</v>
      </c>
      <c r="M100" s="2"/>
      <c r="N100" s="19">
        <f t="shared" si="25"/>
        <v>0</v>
      </c>
      <c r="O100" s="11"/>
      <c r="P100" s="2">
        <v>3002989.31</v>
      </c>
      <c r="Q100" s="2"/>
      <c r="R100" s="19">
        <f t="shared" si="26"/>
        <v>0.38151149120005229</v>
      </c>
      <c r="S100" s="2"/>
      <c r="T100" s="2">
        <v>0</v>
      </c>
      <c r="U100" s="2"/>
      <c r="V100" s="19">
        <f t="shared" si="27"/>
        <v>0</v>
      </c>
      <c r="W100" s="2"/>
      <c r="X100" s="2">
        <f t="shared" si="28"/>
        <v>3002989.31</v>
      </c>
      <c r="Y100" s="2"/>
      <c r="Z100" s="19">
        <f t="shared" si="29"/>
        <v>0</v>
      </c>
    </row>
    <row r="101" spans="1:26" s="24" customFormat="1" hidden="1" outlineLevel="1" x14ac:dyDescent="0.25">
      <c r="A101" s="44"/>
      <c r="B101" s="11" t="str">
        <f>CONCATENATE("          ", "5001", " - ", "PURCHASES @ COST-NEW TEXT")</f>
        <v xml:space="preserve">          5001 - PURCHASES @ COST-NEW TEXT</v>
      </c>
      <c r="C101" s="11"/>
      <c r="D101" s="2">
        <v>0</v>
      </c>
      <c r="E101" s="2"/>
      <c r="F101" s="19">
        <f t="shared" si="22"/>
        <v>0</v>
      </c>
      <c r="G101" s="2"/>
      <c r="H101" s="2">
        <v>55775.07</v>
      </c>
      <c r="I101" s="2"/>
      <c r="J101" s="19">
        <f t="shared" si="23"/>
        <v>8.200038945541735E-2</v>
      </c>
      <c r="K101" s="2"/>
      <c r="L101" s="2">
        <f t="shared" si="24"/>
        <v>-55775.07</v>
      </c>
      <c r="M101" s="2"/>
      <c r="N101" s="19">
        <f t="shared" si="25"/>
        <v>-1</v>
      </c>
      <c r="O101" s="11"/>
      <c r="P101" s="2">
        <v>0</v>
      </c>
      <c r="Q101" s="2"/>
      <c r="R101" s="19">
        <f t="shared" si="26"/>
        <v>0</v>
      </c>
      <c r="S101" s="2"/>
      <c r="T101" s="2">
        <v>1349196.83</v>
      </c>
      <c r="U101" s="2"/>
      <c r="V101" s="19">
        <f t="shared" si="27"/>
        <v>0.31642486038986706</v>
      </c>
      <c r="W101" s="2"/>
      <c r="X101" s="2">
        <f t="shared" si="28"/>
        <v>-1349196.83</v>
      </c>
      <c r="Y101" s="2"/>
      <c r="Z101" s="19">
        <f t="shared" si="29"/>
        <v>-1</v>
      </c>
    </row>
    <row r="102" spans="1:26" s="24" customFormat="1" hidden="1" outlineLevel="1" x14ac:dyDescent="0.25">
      <c r="A102" s="44"/>
      <c r="B102" s="11" t="str">
        <f>CONCATENATE("          ", "5002", " - ", "PURCHASES @ COST-USED TEXT")</f>
        <v xml:space="preserve">          5002 - PURCHASES @ COST-USED TEXT</v>
      </c>
      <c r="C102" s="11"/>
      <c r="D102" s="2"/>
      <c r="E102" s="2"/>
      <c r="F102" s="19">
        <f t="shared" si="22"/>
        <v>0</v>
      </c>
      <c r="G102" s="2"/>
      <c r="H102" s="2">
        <v>6331.95</v>
      </c>
      <c r="I102" s="2"/>
      <c r="J102" s="19">
        <f t="shared" si="23"/>
        <v>9.3092194418084983E-3</v>
      </c>
      <c r="K102" s="2"/>
      <c r="L102" s="2">
        <f t="shared" si="24"/>
        <v>-6331.95</v>
      </c>
      <c r="M102" s="2"/>
      <c r="N102" s="19">
        <f t="shared" si="25"/>
        <v>-1</v>
      </c>
      <c r="O102" s="11"/>
      <c r="P102" s="2">
        <v>0</v>
      </c>
      <c r="Q102" s="2"/>
      <c r="R102" s="19">
        <f t="shared" si="26"/>
        <v>0</v>
      </c>
      <c r="S102" s="2"/>
      <c r="T102" s="2">
        <v>303063.33</v>
      </c>
      <c r="U102" s="2"/>
      <c r="V102" s="19">
        <f t="shared" si="27"/>
        <v>7.1076932403212223E-2</v>
      </c>
      <c r="W102" s="2"/>
      <c r="X102" s="2">
        <f t="shared" si="28"/>
        <v>-303063.33</v>
      </c>
      <c r="Y102" s="2"/>
      <c r="Z102" s="19">
        <f t="shared" si="29"/>
        <v>-1</v>
      </c>
    </row>
    <row r="103" spans="1:26" s="24" customFormat="1" hidden="1" outlineLevel="1" x14ac:dyDescent="0.25">
      <c r="A103" s="44"/>
      <c r="B103" s="11" t="str">
        <f>CONCATENATE("          ", "5003", " - ", "PURCHASES @ COST-RENTAL TEXT")</f>
        <v xml:space="preserve">          5003 - PURCHASES @ COST-RENTAL TEXT</v>
      </c>
      <c r="C103" s="11"/>
      <c r="D103" s="2"/>
      <c r="E103" s="2"/>
      <c r="F103" s="19">
        <f t="shared" si="22"/>
        <v>0</v>
      </c>
      <c r="G103" s="2"/>
      <c r="H103" s="2">
        <v>10600.69</v>
      </c>
      <c r="I103" s="2"/>
      <c r="J103" s="19">
        <f t="shared" si="23"/>
        <v>1.5585111923591459E-2</v>
      </c>
      <c r="K103" s="2"/>
      <c r="L103" s="2">
        <f t="shared" si="24"/>
        <v>-10600.69</v>
      </c>
      <c r="M103" s="2"/>
      <c r="N103" s="19">
        <f t="shared" si="25"/>
        <v>-1</v>
      </c>
      <c r="O103" s="11"/>
      <c r="P103" s="2"/>
      <c r="Q103" s="2"/>
      <c r="R103" s="19">
        <f t="shared" si="26"/>
        <v>0</v>
      </c>
      <c r="S103" s="2"/>
      <c r="T103" s="2">
        <v>-485.41</v>
      </c>
      <c r="U103" s="2"/>
      <c r="V103" s="19">
        <f t="shared" si="27"/>
        <v>-1.1384238983265723E-4</v>
      </c>
      <c r="W103" s="2"/>
      <c r="X103" s="2">
        <f t="shared" si="28"/>
        <v>485.41</v>
      </c>
      <c r="Y103" s="2"/>
      <c r="Z103" s="19">
        <f t="shared" si="29"/>
        <v>-1</v>
      </c>
    </row>
    <row r="104" spans="1:26" s="24" customFormat="1" hidden="1" outlineLevel="1" x14ac:dyDescent="0.25">
      <c r="A104" s="44"/>
      <c r="B104" s="11" t="str">
        <f>CONCATENATE("          ", "5004", " - ", "PURCHASES @ COST-DIGITAL TEXT")</f>
        <v xml:space="preserve">          5004 - PURCHASES @ COST-DIGITAL TEXT</v>
      </c>
      <c r="C104" s="11"/>
      <c r="D104" s="2"/>
      <c r="E104" s="2"/>
      <c r="F104" s="19">
        <f t="shared" si="22"/>
        <v>0</v>
      </c>
      <c r="G104" s="2"/>
      <c r="H104" s="2">
        <v>12903.46</v>
      </c>
      <c r="I104" s="2"/>
      <c r="J104" s="19">
        <f t="shared" si="23"/>
        <v>1.8970639486824481E-2</v>
      </c>
      <c r="K104" s="2"/>
      <c r="L104" s="2">
        <f t="shared" si="24"/>
        <v>-12903.46</v>
      </c>
      <c r="M104" s="2"/>
      <c r="N104" s="19">
        <f t="shared" si="25"/>
        <v>-1</v>
      </c>
      <c r="O104" s="11"/>
      <c r="P104" s="2">
        <v>0</v>
      </c>
      <c r="Q104" s="2"/>
      <c r="R104" s="19">
        <f t="shared" si="26"/>
        <v>0</v>
      </c>
      <c r="S104" s="2"/>
      <c r="T104" s="2">
        <v>195519.53</v>
      </c>
      <c r="U104" s="2"/>
      <c r="V104" s="19">
        <f t="shared" si="27"/>
        <v>4.5854866101147321E-2</v>
      </c>
      <c r="W104" s="2"/>
      <c r="X104" s="2">
        <f t="shared" si="28"/>
        <v>-195519.53</v>
      </c>
      <c r="Y104" s="2"/>
      <c r="Z104" s="19">
        <f t="shared" si="29"/>
        <v>-1</v>
      </c>
    </row>
    <row r="105" spans="1:26" s="24" customFormat="1" hidden="1" outlineLevel="1" x14ac:dyDescent="0.25">
      <c r="A105" s="44"/>
      <c r="B105" s="11" t="str">
        <f>CONCATENATE("          ", "5011", " - ", "PURCHASES @ COST-NO VALUE TEXT")</f>
        <v xml:space="preserve">          5011 - PURCHASES @ COST-NO VALUE TEXT</v>
      </c>
      <c r="C105" s="11"/>
      <c r="D105" s="2"/>
      <c r="E105" s="2"/>
      <c r="F105" s="19">
        <f t="shared" si="22"/>
        <v>0</v>
      </c>
      <c r="G105" s="2"/>
      <c r="H105" s="2">
        <v>67.17</v>
      </c>
      <c r="I105" s="2"/>
      <c r="J105" s="19">
        <f t="shared" si="23"/>
        <v>9.8753191340152227E-5</v>
      </c>
      <c r="K105" s="2"/>
      <c r="L105" s="2">
        <f t="shared" si="24"/>
        <v>-67.17</v>
      </c>
      <c r="M105" s="2"/>
      <c r="N105" s="19">
        <f t="shared" si="25"/>
        <v>-1</v>
      </c>
      <c r="O105" s="11"/>
      <c r="P105" s="2"/>
      <c r="Q105" s="2"/>
      <c r="R105" s="19">
        <f t="shared" si="26"/>
        <v>0</v>
      </c>
      <c r="S105" s="2"/>
      <c r="T105" s="2">
        <v>67.17</v>
      </c>
      <c r="U105" s="2"/>
      <c r="V105" s="19">
        <f t="shared" si="27"/>
        <v>1.5753266980613473E-5</v>
      </c>
      <c r="W105" s="2"/>
      <c r="X105" s="2">
        <f t="shared" si="28"/>
        <v>-67.17</v>
      </c>
      <c r="Y105" s="2"/>
      <c r="Z105" s="19">
        <f t="shared" si="29"/>
        <v>-1</v>
      </c>
    </row>
    <row r="106" spans="1:26" s="24" customFormat="1" hidden="1" outlineLevel="1" x14ac:dyDescent="0.25">
      <c r="A106" s="44"/>
      <c r="B106" s="11" t="str">
        <f>CONCATENATE("          ", "5013", " - ", "PURCHASES @ COST-TRADE BOOKS")</f>
        <v xml:space="preserve">          5013 - PURCHASES @ COST-TRADE BOOKS</v>
      </c>
      <c r="C106" s="11"/>
      <c r="D106" s="2"/>
      <c r="E106" s="2"/>
      <c r="F106" s="19">
        <f t="shared" si="22"/>
        <v>0</v>
      </c>
      <c r="G106" s="2"/>
      <c r="H106" s="2">
        <v>1384.46</v>
      </c>
      <c r="I106" s="2"/>
      <c r="J106" s="19">
        <f t="shared" si="23"/>
        <v>2.0354301515972477E-3</v>
      </c>
      <c r="K106" s="2"/>
      <c r="L106" s="2">
        <f t="shared" si="24"/>
        <v>-1384.46</v>
      </c>
      <c r="M106" s="2"/>
      <c r="N106" s="19">
        <f t="shared" si="25"/>
        <v>-1</v>
      </c>
      <c r="O106" s="11"/>
      <c r="P106" s="2"/>
      <c r="Q106" s="2"/>
      <c r="R106" s="19">
        <f t="shared" si="26"/>
        <v>0</v>
      </c>
      <c r="S106" s="2"/>
      <c r="T106" s="2">
        <v>1483.64</v>
      </c>
      <c r="U106" s="2"/>
      <c r="V106" s="19">
        <f t="shared" si="27"/>
        <v>3.4795559063744791E-4</v>
      </c>
      <c r="W106" s="2"/>
      <c r="X106" s="2">
        <f t="shared" si="28"/>
        <v>-1483.64</v>
      </c>
      <c r="Y106" s="2"/>
      <c r="Z106" s="19">
        <f t="shared" si="29"/>
        <v>-1</v>
      </c>
    </row>
    <row r="107" spans="1:26" s="24" customFormat="1" hidden="1" outlineLevel="1" x14ac:dyDescent="0.25">
      <c r="A107" s="44"/>
      <c r="B107" s="11" t="str">
        <f>CONCATENATE("          ", "5014", " - ", "PURCHASES @ COST-REMAINDERS")</f>
        <v xml:space="preserve">          5014 - PURCHASES @ COST-REMAINDERS</v>
      </c>
      <c r="C107" s="11"/>
      <c r="D107" s="2"/>
      <c r="E107" s="2"/>
      <c r="F107" s="19">
        <f t="shared" si="22"/>
        <v>0</v>
      </c>
      <c r="G107" s="2"/>
      <c r="H107" s="2">
        <v>102.92</v>
      </c>
      <c r="I107" s="2"/>
      <c r="J107" s="19">
        <f t="shared" si="23"/>
        <v>1.5131276541206589E-4</v>
      </c>
      <c r="K107" s="2"/>
      <c r="L107" s="2">
        <f t="shared" si="24"/>
        <v>-102.92</v>
      </c>
      <c r="M107" s="2"/>
      <c r="N107" s="19">
        <f t="shared" si="25"/>
        <v>-1</v>
      </c>
      <c r="O107" s="11"/>
      <c r="P107" s="2"/>
      <c r="Q107" s="2"/>
      <c r="R107" s="19">
        <f t="shared" si="26"/>
        <v>0</v>
      </c>
      <c r="S107" s="2"/>
      <c r="T107" s="2">
        <v>90.41</v>
      </c>
      <c r="U107" s="2"/>
      <c r="V107" s="19">
        <f t="shared" si="27"/>
        <v>2.1203705042686675E-5</v>
      </c>
      <c r="W107" s="2"/>
      <c r="X107" s="2">
        <f t="shared" si="28"/>
        <v>-90.41</v>
      </c>
      <c r="Y107" s="2"/>
      <c r="Z107" s="19">
        <f t="shared" si="29"/>
        <v>-1</v>
      </c>
    </row>
    <row r="108" spans="1:26" s="24" customFormat="1" hidden="1" outlineLevel="1" x14ac:dyDescent="0.25">
      <c r="A108" s="44"/>
      <c r="B108" s="11" t="str">
        <f>CONCATENATE("          ", "5025", " - ", "PURCHASES @ COST-TEST FORMS")</f>
        <v xml:space="preserve">          5025 - PURCHASES @ COST-TEST FORMS</v>
      </c>
      <c r="C108" s="11"/>
      <c r="D108" s="2"/>
      <c r="E108" s="2"/>
      <c r="F108" s="19">
        <f t="shared" si="22"/>
        <v>0</v>
      </c>
      <c r="G108" s="2"/>
      <c r="H108" s="2">
        <v>599.29</v>
      </c>
      <c r="I108" s="2"/>
      <c r="J108" s="19">
        <f t="shared" si="23"/>
        <v>8.8107488519040972E-4</v>
      </c>
      <c r="K108" s="2"/>
      <c r="L108" s="2">
        <f t="shared" si="24"/>
        <v>-599.29</v>
      </c>
      <c r="M108" s="2"/>
      <c r="N108" s="19">
        <f t="shared" si="25"/>
        <v>-1</v>
      </c>
      <c r="O108" s="11"/>
      <c r="P108" s="2"/>
      <c r="Q108" s="2"/>
      <c r="R108" s="19">
        <f t="shared" si="26"/>
        <v>0</v>
      </c>
      <c r="S108" s="2"/>
      <c r="T108" s="2">
        <v>599.29</v>
      </c>
      <c r="U108" s="2"/>
      <c r="V108" s="19">
        <f t="shared" si="27"/>
        <v>1.4055047445007962E-4</v>
      </c>
      <c r="W108" s="2"/>
      <c r="X108" s="2">
        <f t="shared" si="28"/>
        <v>-599.29</v>
      </c>
      <c r="Y108" s="2"/>
      <c r="Z108" s="19">
        <f t="shared" si="29"/>
        <v>-1</v>
      </c>
    </row>
    <row r="109" spans="1:26" s="24" customFormat="1" hidden="1" outlineLevel="1" x14ac:dyDescent="0.25">
      <c r="A109" s="44"/>
      <c r="B109" s="11" t="str">
        <f>CONCATENATE("          ", "5026", " - ", "PURCHASES @ COST-WRITING INSTR")</f>
        <v xml:space="preserve">          5026 - PURCHASES @ COST-WRITING INSTR</v>
      </c>
      <c r="C109" s="11"/>
      <c r="D109" s="2"/>
      <c r="E109" s="2"/>
      <c r="F109" s="19">
        <f t="shared" si="22"/>
        <v>0</v>
      </c>
      <c r="G109" s="2"/>
      <c r="H109" s="2">
        <v>380.02</v>
      </c>
      <c r="I109" s="2"/>
      <c r="J109" s="19">
        <f t="shared" si="23"/>
        <v>5.5870459688975207E-4</v>
      </c>
      <c r="K109" s="2"/>
      <c r="L109" s="2">
        <f t="shared" si="24"/>
        <v>-380.02</v>
      </c>
      <c r="M109" s="2"/>
      <c r="N109" s="19">
        <f t="shared" si="25"/>
        <v>-1</v>
      </c>
      <c r="O109" s="11"/>
      <c r="P109" s="2">
        <v>0</v>
      </c>
      <c r="Q109" s="2"/>
      <c r="R109" s="19">
        <f t="shared" si="26"/>
        <v>0</v>
      </c>
      <c r="S109" s="2"/>
      <c r="T109" s="2">
        <v>380.02</v>
      </c>
      <c r="U109" s="2"/>
      <c r="V109" s="19">
        <f t="shared" si="27"/>
        <v>8.9125450617429382E-5</v>
      </c>
      <c r="W109" s="2"/>
      <c r="X109" s="2">
        <f t="shared" si="28"/>
        <v>-380.02</v>
      </c>
      <c r="Y109" s="2"/>
      <c r="Z109" s="19">
        <f t="shared" si="29"/>
        <v>-1</v>
      </c>
    </row>
    <row r="110" spans="1:26" s="24" customFormat="1" hidden="1" outlineLevel="1" x14ac:dyDescent="0.25">
      <c r="A110" s="44"/>
      <c r="B110" s="11" t="str">
        <f>CONCATENATE("          ", "5027", " - ", "PURCHASES @ COST-SCHOOL SUPPLI")</f>
        <v xml:space="preserve">          5027 - PURCHASES @ COST-SCHOOL SUPPLI</v>
      </c>
      <c r="C110" s="11"/>
      <c r="D110" s="2"/>
      <c r="E110" s="2"/>
      <c r="F110" s="19">
        <f t="shared" si="22"/>
        <v>0</v>
      </c>
      <c r="G110" s="2"/>
      <c r="H110" s="2">
        <v>10567.95</v>
      </c>
      <c r="I110" s="2"/>
      <c r="J110" s="19">
        <f t="shared" si="23"/>
        <v>1.5536977645126718E-2</v>
      </c>
      <c r="K110" s="2"/>
      <c r="L110" s="2">
        <f t="shared" si="24"/>
        <v>-10567.95</v>
      </c>
      <c r="M110" s="2"/>
      <c r="N110" s="19">
        <f t="shared" si="25"/>
        <v>-1</v>
      </c>
      <c r="O110" s="11"/>
      <c r="P110" s="2">
        <v>0</v>
      </c>
      <c r="Q110" s="2"/>
      <c r="R110" s="19">
        <f t="shared" si="26"/>
        <v>0</v>
      </c>
      <c r="S110" s="2"/>
      <c r="T110" s="2">
        <v>19071.349999999999</v>
      </c>
      <c r="U110" s="2"/>
      <c r="V110" s="19">
        <f t="shared" si="27"/>
        <v>4.4727715978967204E-3</v>
      </c>
      <c r="W110" s="2"/>
      <c r="X110" s="2">
        <f t="shared" si="28"/>
        <v>-19071.349999999999</v>
      </c>
      <c r="Y110" s="2"/>
      <c r="Z110" s="19">
        <f t="shared" si="29"/>
        <v>-1</v>
      </c>
    </row>
    <row r="111" spans="1:26" s="24" customFormat="1" hidden="1" outlineLevel="1" x14ac:dyDescent="0.25">
      <c r="A111" s="44"/>
      <c r="B111" s="11" t="str">
        <f>CONCATENATE("          ", "5028", " - ", "PURCHASES @ COST-ART/TECH")</f>
        <v xml:space="preserve">          5028 - PURCHASES @ COST-ART/TECH</v>
      </c>
      <c r="C111" s="11"/>
      <c r="D111" s="2"/>
      <c r="E111" s="2"/>
      <c r="F111" s="19">
        <f t="shared" si="22"/>
        <v>0</v>
      </c>
      <c r="G111" s="2"/>
      <c r="H111" s="2">
        <v>41425.96</v>
      </c>
      <c r="I111" s="2"/>
      <c r="J111" s="19">
        <f t="shared" si="23"/>
        <v>6.0904358408954772E-2</v>
      </c>
      <c r="K111" s="2"/>
      <c r="L111" s="2">
        <f t="shared" si="24"/>
        <v>-41425.96</v>
      </c>
      <c r="M111" s="2"/>
      <c r="N111" s="19">
        <f t="shared" si="25"/>
        <v>-1</v>
      </c>
      <c r="O111" s="11"/>
      <c r="P111" s="2">
        <v>0</v>
      </c>
      <c r="Q111" s="2"/>
      <c r="R111" s="19">
        <f t="shared" si="26"/>
        <v>0</v>
      </c>
      <c r="S111" s="2"/>
      <c r="T111" s="2">
        <v>41342.559999999998</v>
      </c>
      <c r="U111" s="2"/>
      <c r="V111" s="19">
        <f t="shared" si="27"/>
        <v>9.6960009727859366E-3</v>
      </c>
      <c r="W111" s="2"/>
      <c r="X111" s="2">
        <f t="shared" si="28"/>
        <v>-41342.559999999998</v>
      </c>
      <c r="Y111" s="2"/>
      <c r="Z111" s="19">
        <f t="shared" si="29"/>
        <v>-1</v>
      </c>
    </row>
    <row r="112" spans="1:26" s="24" customFormat="1" hidden="1" outlineLevel="1" x14ac:dyDescent="0.25">
      <c r="A112" s="44"/>
      <c r="B112" s="11" t="str">
        <f>CONCATENATE("          ", "5031", " - ", "PURCHASES @ COST-FOOD")</f>
        <v xml:space="preserve">          5031 - PURCHASES @ COST-FOOD</v>
      </c>
      <c r="C112" s="11"/>
      <c r="D112" s="2"/>
      <c r="E112" s="2"/>
      <c r="F112" s="19">
        <f t="shared" si="22"/>
        <v>0</v>
      </c>
      <c r="G112" s="2"/>
      <c r="H112" s="2">
        <v>4469.18</v>
      </c>
      <c r="I112" s="2"/>
      <c r="J112" s="19">
        <f t="shared" si="23"/>
        <v>6.570578944075949E-3</v>
      </c>
      <c r="K112" s="2"/>
      <c r="L112" s="2">
        <f t="shared" si="24"/>
        <v>-4469.18</v>
      </c>
      <c r="M112" s="2"/>
      <c r="N112" s="19">
        <f t="shared" si="25"/>
        <v>-1</v>
      </c>
      <c r="O112" s="11"/>
      <c r="P112" s="2">
        <v>0</v>
      </c>
      <c r="Q112" s="2"/>
      <c r="R112" s="19">
        <f t="shared" si="26"/>
        <v>0</v>
      </c>
      <c r="S112" s="2"/>
      <c r="T112" s="2">
        <v>8535.1</v>
      </c>
      <c r="U112" s="2"/>
      <c r="V112" s="19">
        <f t="shared" si="27"/>
        <v>2.0017226292427283E-3</v>
      </c>
      <c r="W112" s="2"/>
      <c r="X112" s="2">
        <f t="shared" si="28"/>
        <v>-8535.1</v>
      </c>
      <c r="Y112" s="2"/>
      <c r="Z112" s="19">
        <f t="shared" si="29"/>
        <v>-1</v>
      </c>
    </row>
    <row r="113" spans="1:26" s="24" customFormat="1" hidden="1" outlineLevel="1" x14ac:dyDescent="0.25">
      <c r="A113" s="44"/>
      <c r="B113" s="11" t="str">
        <f>CONCATENATE("          ", "5040", " - ", "PURCHASES @ COST-LOGO CLOTHING")</f>
        <v xml:space="preserve">          5040 - PURCHASES @ COST-LOGO CLOTHING</v>
      </c>
      <c r="C113" s="11"/>
      <c r="D113" s="2"/>
      <c r="E113" s="2"/>
      <c r="F113" s="19">
        <f t="shared" si="22"/>
        <v>0</v>
      </c>
      <c r="G113" s="2"/>
      <c r="H113" s="2">
        <v>25420.9</v>
      </c>
      <c r="I113" s="2"/>
      <c r="J113" s="19">
        <f t="shared" si="23"/>
        <v>3.7373753189502389E-2</v>
      </c>
      <c r="K113" s="2"/>
      <c r="L113" s="2">
        <f t="shared" si="24"/>
        <v>-25420.9</v>
      </c>
      <c r="M113" s="2"/>
      <c r="N113" s="19">
        <f t="shared" si="25"/>
        <v>-1</v>
      </c>
      <c r="O113" s="11"/>
      <c r="P113" s="2">
        <v>0</v>
      </c>
      <c r="Q113" s="2"/>
      <c r="R113" s="19">
        <f t="shared" si="26"/>
        <v>0</v>
      </c>
      <c r="S113" s="2"/>
      <c r="T113" s="2">
        <v>39170.949999999997</v>
      </c>
      <c r="U113" s="2"/>
      <c r="V113" s="19">
        <f t="shared" si="27"/>
        <v>9.1866969366422701E-3</v>
      </c>
      <c r="W113" s="2"/>
      <c r="X113" s="2">
        <f t="shared" si="28"/>
        <v>-39170.949999999997</v>
      </c>
      <c r="Y113" s="2"/>
      <c r="Z113" s="19">
        <f t="shared" si="29"/>
        <v>-1</v>
      </c>
    </row>
    <row r="114" spans="1:26" s="24" customFormat="1" hidden="1" outlineLevel="1" x14ac:dyDescent="0.25">
      <c r="A114" s="44"/>
      <c r="B114" s="11" t="str">
        <f>CONCATENATE("          ", "5041", " - ", "PURCHASES @ COST-LOGO GIFTS")</f>
        <v xml:space="preserve">          5041 - PURCHASES @ COST-LOGO GIFTS</v>
      </c>
      <c r="C114" s="11"/>
      <c r="D114" s="2"/>
      <c r="E114" s="2"/>
      <c r="F114" s="19">
        <f t="shared" si="22"/>
        <v>0</v>
      </c>
      <c r="G114" s="2"/>
      <c r="H114" s="2">
        <v>15289.8</v>
      </c>
      <c r="I114" s="2"/>
      <c r="J114" s="19">
        <f t="shared" si="23"/>
        <v>2.2479031486566315E-2</v>
      </c>
      <c r="K114" s="2"/>
      <c r="L114" s="2">
        <f t="shared" si="24"/>
        <v>-15289.8</v>
      </c>
      <c r="M114" s="2"/>
      <c r="N114" s="19">
        <f t="shared" si="25"/>
        <v>-1</v>
      </c>
      <c r="O114" s="11"/>
      <c r="P114" s="2">
        <v>0</v>
      </c>
      <c r="Q114" s="2"/>
      <c r="R114" s="19">
        <f t="shared" si="26"/>
        <v>0</v>
      </c>
      <c r="S114" s="2"/>
      <c r="T114" s="2">
        <v>17287.34</v>
      </c>
      <c r="U114" s="2"/>
      <c r="V114" s="19">
        <f t="shared" si="27"/>
        <v>4.0543707370051885E-3</v>
      </c>
      <c r="W114" s="2"/>
      <c r="X114" s="2">
        <f t="shared" si="28"/>
        <v>-17287.34</v>
      </c>
      <c r="Y114" s="2"/>
      <c r="Z114" s="19">
        <f t="shared" si="29"/>
        <v>-1</v>
      </c>
    </row>
    <row r="115" spans="1:26" s="24" customFormat="1" hidden="1" outlineLevel="1" x14ac:dyDescent="0.25">
      <c r="A115" s="44"/>
      <c r="B115" s="11" t="str">
        <f>CONCATENATE("          ", "5042", " - ", "PURCHASES @ COST-EVERYDAY GIFT")</f>
        <v xml:space="preserve">          5042 - PURCHASES @ COST-EVERYDAY GIFT</v>
      </c>
      <c r="C115" s="11"/>
      <c r="D115" s="2"/>
      <c r="E115" s="2"/>
      <c r="F115" s="19">
        <f t="shared" si="22"/>
        <v>0</v>
      </c>
      <c r="G115" s="2"/>
      <c r="H115" s="2">
        <v>9421.5300000000007</v>
      </c>
      <c r="I115" s="2"/>
      <c r="J115" s="19">
        <f t="shared" si="23"/>
        <v>1.3851513395965229E-2</v>
      </c>
      <c r="K115" s="2"/>
      <c r="L115" s="2">
        <f t="shared" si="24"/>
        <v>-9421.5300000000007</v>
      </c>
      <c r="M115" s="2"/>
      <c r="N115" s="19">
        <f t="shared" si="25"/>
        <v>-1</v>
      </c>
      <c r="O115" s="11"/>
      <c r="P115" s="2">
        <v>0</v>
      </c>
      <c r="Q115" s="2"/>
      <c r="R115" s="19">
        <f t="shared" si="26"/>
        <v>0</v>
      </c>
      <c r="S115" s="2"/>
      <c r="T115" s="2">
        <v>10912.68</v>
      </c>
      <c r="U115" s="2"/>
      <c r="V115" s="19">
        <f t="shared" si="27"/>
        <v>2.5593324626172554E-3</v>
      </c>
      <c r="W115" s="2"/>
      <c r="X115" s="2">
        <f t="shared" si="28"/>
        <v>-10912.68</v>
      </c>
      <c r="Y115" s="2"/>
      <c r="Z115" s="19">
        <f t="shared" si="29"/>
        <v>-1</v>
      </c>
    </row>
    <row r="116" spans="1:26" s="24" customFormat="1" hidden="1" outlineLevel="1" x14ac:dyDescent="0.25">
      <c r="A116" s="44"/>
      <c r="B116" s="11" t="str">
        <f>CONCATENATE("          ", "5043", " - ", "PURCHASES @ COST-CARDS")</f>
        <v xml:space="preserve">          5043 - PURCHASES @ COST-CARDS</v>
      </c>
      <c r="C116" s="11"/>
      <c r="D116" s="2"/>
      <c r="E116" s="2"/>
      <c r="F116" s="19">
        <f t="shared" si="22"/>
        <v>0</v>
      </c>
      <c r="G116" s="2"/>
      <c r="H116" s="2">
        <v>2526.75</v>
      </c>
      <c r="I116" s="2"/>
      <c r="J116" s="19">
        <f t="shared" si="23"/>
        <v>3.7148224835302905E-3</v>
      </c>
      <c r="K116" s="2"/>
      <c r="L116" s="2">
        <f t="shared" si="24"/>
        <v>-2526.75</v>
      </c>
      <c r="M116" s="2"/>
      <c r="N116" s="19">
        <f t="shared" si="25"/>
        <v>-1</v>
      </c>
      <c r="O116" s="11"/>
      <c r="P116" s="2">
        <v>0</v>
      </c>
      <c r="Q116" s="2"/>
      <c r="R116" s="19">
        <f t="shared" si="26"/>
        <v>0</v>
      </c>
      <c r="S116" s="2"/>
      <c r="T116" s="2">
        <v>5643</v>
      </c>
      <c r="U116" s="2"/>
      <c r="V116" s="19">
        <f t="shared" si="27"/>
        <v>1.3234432867589971E-3</v>
      </c>
      <c r="W116" s="2"/>
      <c r="X116" s="2">
        <f t="shared" si="28"/>
        <v>-5643</v>
      </c>
      <c r="Y116" s="2"/>
      <c r="Z116" s="19">
        <f t="shared" si="29"/>
        <v>-1</v>
      </c>
    </row>
    <row r="117" spans="1:26" s="24" customFormat="1" hidden="1" outlineLevel="1" x14ac:dyDescent="0.25">
      <c r="A117" s="44"/>
      <c r="B117" s="11" t="str">
        <f>CONCATENATE("          ", "5044", " - ", "PURCHASES @ COST-ACCESSORIES")</f>
        <v xml:space="preserve">          5044 - PURCHASES @ COST-ACCESSORIES</v>
      </c>
      <c r="C117" s="11"/>
      <c r="D117" s="2"/>
      <c r="E117" s="2"/>
      <c r="F117" s="19">
        <f t="shared" si="22"/>
        <v>0</v>
      </c>
      <c r="G117" s="2"/>
      <c r="H117" s="2"/>
      <c r="I117" s="2"/>
      <c r="J117" s="19">
        <f t="shared" si="23"/>
        <v>0</v>
      </c>
      <c r="K117" s="2"/>
      <c r="L117" s="2">
        <f t="shared" si="24"/>
        <v>0</v>
      </c>
      <c r="M117" s="2"/>
      <c r="N117" s="19">
        <f t="shared" si="25"/>
        <v>0</v>
      </c>
      <c r="O117" s="11"/>
      <c r="P117" s="2">
        <v>0</v>
      </c>
      <c r="Q117" s="2"/>
      <c r="R117" s="19">
        <f t="shared" si="26"/>
        <v>0</v>
      </c>
      <c r="S117" s="2"/>
      <c r="T117" s="2"/>
      <c r="U117" s="2"/>
      <c r="V117" s="19">
        <f t="shared" si="27"/>
        <v>0</v>
      </c>
      <c r="W117" s="2"/>
      <c r="X117" s="2">
        <f t="shared" si="28"/>
        <v>0</v>
      </c>
      <c r="Y117" s="2"/>
      <c r="Z117" s="19">
        <f t="shared" si="29"/>
        <v>0</v>
      </c>
    </row>
    <row r="118" spans="1:26" s="24" customFormat="1" hidden="1" outlineLevel="1" x14ac:dyDescent="0.25">
      <c r="A118" s="44"/>
      <c r="B118" s="11" t="str">
        <f>CONCATENATE("          ", "5045", " - ", "PURCHASES @ COST-SPECIAL ORDER")</f>
        <v xml:space="preserve">          5045 - PURCHASES @ COST-SPECIAL ORDER</v>
      </c>
      <c r="C118" s="11"/>
      <c r="D118" s="2"/>
      <c r="E118" s="2"/>
      <c r="F118" s="19">
        <f t="shared" si="22"/>
        <v>0</v>
      </c>
      <c r="G118" s="2"/>
      <c r="H118" s="2">
        <v>10080.23</v>
      </c>
      <c r="I118" s="2"/>
      <c r="J118" s="19">
        <f t="shared" si="23"/>
        <v>1.4819932736976961E-2</v>
      </c>
      <c r="K118" s="2"/>
      <c r="L118" s="2">
        <f t="shared" si="24"/>
        <v>-10080.23</v>
      </c>
      <c r="M118" s="2"/>
      <c r="N118" s="19">
        <f t="shared" si="25"/>
        <v>-1</v>
      </c>
      <c r="O118" s="11"/>
      <c r="P118" s="2">
        <v>0</v>
      </c>
      <c r="Q118" s="2"/>
      <c r="R118" s="19">
        <f t="shared" si="26"/>
        <v>0</v>
      </c>
      <c r="S118" s="2"/>
      <c r="T118" s="2">
        <v>71254.52</v>
      </c>
      <c r="U118" s="2"/>
      <c r="V118" s="19">
        <f t="shared" si="27"/>
        <v>1.6711202577571273E-2</v>
      </c>
      <c r="W118" s="2"/>
      <c r="X118" s="2">
        <f t="shared" si="28"/>
        <v>-71254.52</v>
      </c>
      <c r="Y118" s="2"/>
      <c r="Z118" s="19">
        <f t="shared" si="29"/>
        <v>-1</v>
      </c>
    </row>
    <row r="119" spans="1:26" s="24" customFormat="1" hidden="1" outlineLevel="1" x14ac:dyDescent="0.25">
      <c r="A119" s="44"/>
      <c r="B119" s="11" t="str">
        <f>CONCATENATE("          ", "5053", " - ", "PURCHASES @ COST-FOOD")</f>
        <v xml:space="preserve">          5053 - PURCHASES @ COST-FOOD</v>
      </c>
      <c r="C119" s="11"/>
      <c r="D119" s="2">
        <v>526909.31999999995</v>
      </c>
      <c r="E119" s="2"/>
      <c r="F119" s="19">
        <f t="shared" si="22"/>
        <v>0.20834614269736709</v>
      </c>
      <c r="G119" s="2"/>
      <c r="H119" s="2">
        <v>64600.93</v>
      </c>
      <c r="I119" s="2"/>
      <c r="J119" s="19">
        <f t="shared" si="23"/>
        <v>9.4976150082503791E-2</v>
      </c>
      <c r="K119" s="2"/>
      <c r="L119" s="2">
        <f t="shared" si="24"/>
        <v>462308.38999999996</v>
      </c>
      <c r="M119" s="2"/>
      <c r="N119" s="19">
        <f t="shared" si="25"/>
        <v>7.1563736001942999</v>
      </c>
      <c r="O119" s="11"/>
      <c r="P119" s="2">
        <v>1243177.1299999999</v>
      </c>
      <c r="Q119" s="2"/>
      <c r="R119" s="19">
        <f t="shared" si="26"/>
        <v>0.15793807827178086</v>
      </c>
      <c r="S119" s="2"/>
      <c r="T119" s="2">
        <v>192681.29</v>
      </c>
      <c r="U119" s="2"/>
      <c r="V119" s="19">
        <f t="shared" si="27"/>
        <v>4.5189218453759256E-2</v>
      </c>
      <c r="W119" s="2"/>
      <c r="X119" s="2">
        <f t="shared" si="28"/>
        <v>1050495.8399999999</v>
      </c>
      <c r="Y119" s="2"/>
      <c r="Z119" s="19">
        <f t="shared" si="29"/>
        <v>5.4519867497254131</v>
      </c>
    </row>
    <row r="120" spans="1:26" s="24" customFormat="1" hidden="1" outlineLevel="1" x14ac:dyDescent="0.25">
      <c r="A120" s="44"/>
      <c r="B120" s="11" t="str">
        <f>CONCATENATE("          ", "5059", " - ", "PURCHASES @ COST-FOOD")</f>
        <v xml:space="preserve">          5059 - PURCHASES @ COST-FOOD</v>
      </c>
      <c r="C120" s="11"/>
      <c r="D120" s="2">
        <v>9985.92</v>
      </c>
      <c r="E120" s="2"/>
      <c r="F120" s="19">
        <f t="shared" si="22"/>
        <v>3.9485502235650193E-3</v>
      </c>
      <c r="G120" s="2"/>
      <c r="H120" s="2">
        <v>25839.9</v>
      </c>
      <c r="I120" s="2"/>
      <c r="J120" s="19">
        <f t="shared" si="23"/>
        <v>3.7989766099603979E-2</v>
      </c>
      <c r="K120" s="2"/>
      <c r="L120" s="2">
        <f t="shared" si="24"/>
        <v>-15853.980000000001</v>
      </c>
      <c r="M120" s="2"/>
      <c r="N120" s="19">
        <f t="shared" si="25"/>
        <v>-0.61354649205298784</v>
      </c>
      <c r="O120" s="11"/>
      <c r="P120" s="2">
        <v>-75481.08</v>
      </c>
      <c r="Q120" s="2"/>
      <c r="R120" s="19">
        <f t="shared" si="26"/>
        <v>-9.5894112217770246E-3</v>
      </c>
      <c r="S120" s="2"/>
      <c r="T120" s="2">
        <v>2968.29</v>
      </c>
      <c r="U120" s="2"/>
      <c r="V120" s="19">
        <f t="shared" si="27"/>
        <v>6.961480548739789E-4</v>
      </c>
      <c r="W120" s="2"/>
      <c r="X120" s="2">
        <f t="shared" si="28"/>
        <v>-78449.37</v>
      </c>
      <c r="Y120" s="2"/>
      <c r="Z120" s="19">
        <f t="shared" si="29"/>
        <v>-26.429146074002201</v>
      </c>
    </row>
    <row r="121" spans="1:26" s="24" customFormat="1" hidden="1" outlineLevel="1" x14ac:dyDescent="0.25">
      <c r="A121" s="44"/>
      <c r="B121" s="11" t="str">
        <f>CONCATENATE("          ", "5081", " - ", "PURCHASES @ COST-ELECTRONICS")</f>
        <v xml:space="preserve">          5081 - PURCHASES @ COST-ELECTRONICS</v>
      </c>
      <c r="C121" s="11"/>
      <c r="D121" s="2"/>
      <c r="E121" s="2"/>
      <c r="F121" s="19">
        <f t="shared" si="22"/>
        <v>0</v>
      </c>
      <c r="G121" s="2"/>
      <c r="H121" s="2">
        <v>6249.76</v>
      </c>
      <c r="I121" s="2"/>
      <c r="J121" s="19">
        <f t="shared" si="23"/>
        <v>9.1883838783687628E-3</v>
      </c>
      <c r="K121" s="2"/>
      <c r="L121" s="2">
        <f t="shared" si="24"/>
        <v>-6249.76</v>
      </c>
      <c r="M121" s="2"/>
      <c r="N121" s="19">
        <f t="shared" si="25"/>
        <v>-1</v>
      </c>
      <c r="O121" s="11"/>
      <c r="P121" s="2">
        <v>0</v>
      </c>
      <c r="Q121" s="2"/>
      <c r="R121" s="19">
        <f t="shared" si="26"/>
        <v>0</v>
      </c>
      <c r="S121" s="2"/>
      <c r="T121" s="2">
        <v>21947.21</v>
      </c>
      <c r="U121" s="2"/>
      <c r="V121" s="19">
        <f t="shared" si="27"/>
        <v>5.1472422005298469E-3</v>
      </c>
      <c r="W121" s="2"/>
      <c r="X121" s="2">
        <f t="shared" si="28"/>
        <v>-21947.21</v>
      </c>
      <c r="Y121" s="2"/>
      <c r="Z121" s="19">
        <f t="shared" si="29"/>
        <v>-1</v>
      </c>
    </row>
    <row r="122" spans="1:26" s="24" customFormat="1" hidden="1" outlineLevel="1" x14ac:dyDescent="0.25">
      <c r="A122" s="44"/>
      <c r="B122" s="11" t="str">
        <f>CONCATENATE("          ", "5082", " - ", "PURCHASES @ COST-COMPUTER HARD")</f>
        <v xml:space="preserve">          5082 - PURCHASES @ COST-COMPUTER HARD</v>
      </c>
      <c r="C122" s="11"/>
      <c r="D122" s="2">
        <v>-20540.88</v>
      </c>
      <c r="E122" s="2"/>
      <c r="F122" s="19">
        <f t="shared" si="22"/>
        <v>-8.122105556245417E-3</v>
      </c>
      <c r="G122" s="2"/>
      <c r="H122" s="2">
        <v>175404.87</v>
      </c>
      <c r="I122" s="2"/>
      <c r="J122" s="19">
        <f t="shared" si="23"/>
        <v>0.25787986733816476</v>
      </c>
      <c r="K122" s="2"/>
      <c r="L122" s="2">
        <f t="shared" si="24"/>
        <v>-195945.75</v>
      </c>
      <c r="M122" s="2"/>
      <c r="N122" s="19">
        <f t="shared" si="25"/>
        <v>-1.1171055284839013</v>
      </c>
      <c r="O122" s="11"/>
      <c r="P122" s="2">
        <v>-77324.73</v>
      </c>
      <c r="Q122" s="2"/>
      <c r="R122" s="19">
        <f t="shared" si="26"/>
        <v>-9.8236357188169338E-3</v>
      </c>
      <c r="S122" s="2"/>
      <c r="T122" s="2">
        <v>888778.08</v>
      </c>
      <c r="U122" s="2"/>
      <c r="V122" s="19">
        <f t="shared" si="27"/>
        <v>0.20844362633254487</v>
      </c>
      <c r="W122" s="2"/>
      <c r="X122" s="2">
        <f t="shared" si="28"/>
        <v>-966102.80999999994</v>
      </c>
      <c r="Y122" s="2"/>
      <c r="Z122" s="19">
        <f t="shared" si="29"/>
        <v>-1.0870011668154551</v>
      </c>
    </row>
    <row r="123" spans="1:26" s="24" customFormat="1" hidden="1" outlineLevel="1" x14ac:dyDescent="0.25">
      <c r="A123" s="44"/>
      <c r="B123" s="11" t="str">
        <f>CONCATENATE("          ", "5083", " - ", "PURCHASES @ COST-COMPUTER EQUI")</f>
        <v xml:space="preserve">          5083 - PURCHASES @ COST-COMPUTER EQUI</v>
      </c>
      <c r="C123" s="11"/>
      <c r="D123" s="2"/>
      <c r="E123" s="2"/>
      <c r="F123" s="19">
        <f t="shared" si="22"/>
        <v>0</v>
      </c>
      <c r="G123" s="2"/>
      <c r="H123" s="2">
        <v>11838.95</v>
      </c>
      <c r="I123" s="2"/>
      <c r="J123" s="19">
        <f t="shared" si="23"/>
        <v>1.7405599145697413E-2</v>
      </c>
      <c r="K123" s="2"/>
      <c r="L123" s="2">
        <f t="shared" si="24"/>
        <v>-11838.95</v>
      </c>
      <c r="M123" s="2"/>
      <c r="N123" s="19">
        <f t="shared" si="25"/>
        <v>-1</v>
      </c>
      <c r="O123" s="11"/>
      <c r="P123" s="2">
        <v>0</v>
      </c>
      <c r="Q123" s="2"/>
      <c r="R123" s="19">
        <f t="shared" si="26"/>
        <v>0</v>
      </c>
      <c r="S123" s="2"/>
      <c r="T123" s="2">
        <v>73272.95</v>
      </c>
      <c r="U123" s="2"/>
      <c r="V123" s="19">
        <f t="shared" si="27"/>
        <v>1.7184581566281703E-2</v>
      </c>
      <c r="W123" s="2"/>
      <c r="X123" s="2">
        <f t="shared" si="28"/>
        <v>-73272.95</v>
      </c>
      <c r="Y123" s="2"/>
      <c r="Z123" s="19">
        <f t="shared" si="29"/>
        <v>-1</v>
      </c>
    </row>
    <row r="124" spans="1:26" s="24" customFormat="1" hidden="1" outlineLevel="1" x14ac:dyDescent="0.25">
      <c r="A124" s="44"/>
      <c r="B124" s="11" t="str">
        <f>CONCATENATE("          ", "5085", " - ", "PURCHASES @ COST-SOFTWARE")</f>
        <v xml:space="preserve">          5085 - PURCHASES @ COST-SOFTWARE</v>
      </c>
      <c r="C124" s="11"/>
      <c r="D124" s="2"/>
      <c r="E124" s="2"/>
      <c r="F124" s="19">
        <f t="shared" si="22"/>
        <v>0</v>
      </c>
      <c r="G124" s="2"/>
      <c r="H124" s="2">
        <v>5843.52</v>
      </c>
      <c r="I124" s="2"/>
      <c r="J124" s="19">
        <f t="shared" si="23"/>
        <v>8.5911306931666861E-3</v>
      </c>
      <c r="K124" s="2"/>
      <c r="L124" s="2">
        <f t="shared" si="24"/>
        <v>-5843.52</v>
      </c>
      <c r="M124" s="2"/>
      <c r="N124" s="19">
        <f t="shared" si="25"/>
        <v>-1</v>
      </c>
      <c r="O124" s="11"/>
      <c r="P124" s="2">
        <v>0</v>
      </c>
      <c r="Q124" s="2"/>
      <c r="R124" s="19">
        <f t="shared" si="26"/>
        <v>0</v>
      </c>
      <c r="S124" s="2"/>
      <c r="T124" s="2">
        <v>20681.2</v>
      </c>
      <c r="U124" s="2"/>
      <c r="V124" s="19">
        <f t="shared" si="27"/>
        <v>4.8503270072869338E-3</v>
      </c>
      <c r="W124" s="2"/>
      <c r="X124" s="2">
        <f t="shared" si="28"/>
        <v>-20681.2</v>
      </c>
      <c r="Y124" s="2"/>
      <c r="Z124" s="19">
        <f t="shared" si="29"/>
        <v>-1</v>
      </c>
    </row>
    <row r="125" spans="1:26" s="24" customFormat="1" hidden="1" outlineLevel="1" x14ac:dyDescent="0.25">
      <c r="A125" s="44"/>
      <c r="B125" s="11" t="str">
        <f>CONCATENATE("          ", "5086", " - ", "PURCHASES @ COST-COMPUTER SUPP")</f>
        <v xml:space="preserve">          5086 - PURCHASES @ COST-COMPUTER SUPP</v>
      </c>
      <c r="C125" s="11"/>
      <c r="D125" s="2"/>
      <c r="E125" s="2"/>
      <c r="F125" s="19">
        <f t="shared" si="22"/>
        <v>0</v>
      </c>
      <c r="G125" s="2"/>
      <c r="H125" s="2">
        <v>773.47</v>
      </c>
      <c r="I125" s="2"/>
      <c r="J125" s="19">
        <f t="shared" si="23"/>
        <v>1.13715395125603E-3</v>
      </c>
      <c r="K125" s="2"/>
      <c r="L125" s="2">
        <f t="shared" si="24"/>
        <v>-773.47</v>
      </c>
      <c r="M125" s="2"/>
      <c r="N125" s="19">
        <f t="shared" si="25"/>
        <v>-1</v>
      </c>
      <c r="O125" s="11"/>
      <c r="P125" s="2">
        <v>0</v>
      </c>
      <c r="Q125" s="2"/>
      <c r="R125" s="19">
        <f t="shared" si="26"/>
        <v>0</v>
      </c>
      <c r="S125" s="2"/>
      <c r="T125" s="2">
        <v>22529.439999999999</v>
      </c>
      <c r="U125" s="2"/>
      <c r="V125" s="19">
        <f t="shared" si="27"/>
        <v>5.2837916219102632E-3</v>
      </c>
      <c r="W125" s="2"/>
      <c r="X125" s="2">
        <f t="shared" si="28"/>
        <v>-22529.439999999999</v>
      </c>
      <c r="Y125" s="2"/>
      <c r="Z125" s="19">
        <f t="shared" si="29"/>
        <v>-1</v>
      </c>
    </row>
    <row r="126" spans="1:26" s="24" customFormat="1" hidden="1" outlineLevel="1" x14ac:dyDescent="0.25">
      <c r="A126" s="44"/>
      <c r="B126" s="11" t="str">
        <f>CONCATENATE("          ", "5092", " - ", "PURCHASES @ COST-GRAD MERCH")</f>
        <v xml:space="preserve">          5092 - PURCHASES @ COST-GRAD MERCH</v>
      </c>
      <c r="C126" s="11"/>
      <c r="D126" s="2"/>
      <c r="E126" s="2"/>
      <c r="F126" s="19">
        <f t="shared" si="22"/>
        <v>0</v>
      </c>
      <c r="G126" s="2"/>
      <c r="H126" s="2"/>
      <c r="I126" s="2"/>
      <c r="J126" s="19">
        <f t="shared" si="23"/>
        <v>0</v>
      </c>
      <c r="K126" s="2"/>
      <c r="L126" s="2">
        <f t="shared" si="24"/>
        <v>0</v>
      </c>
      <c r="M126" s="2"/>
      <c r="N126" s="19">
        <f t="shared" si="25"/>
        <v>0</v>
      </c>
      <c r="O126" s="11"/>
      <c r="P126" s="2"/>
      <c r="Q126" s="2"/>
      <c r="R126" s="19">
        <f t="shared" si="26"/>
        <v>0</v>
      </c>
      <c r="S126" s="2"/>
      <c r="T126" s="2">
        <v>0</v>
      </c>
      <c r="U126" s="2"/>
      <c r="V126" s="19">
        <f t="shared" si="27"/>
        <v>0</v>
      </c>
      <c r="W126" s="2"/>
      <c r="X126" s="2">
        <f t="shared" si="28"/>
        <v>0</v>
      </c>
      <c r="Y126" s="2"/>
      <c r="Z126" s="19">
        <f t="shared" si="29"/>
        <v>0</v>
      </c>
    </row>
    <row r="127" spans="1:26" s="24" customFormat="1" hidden="1" outlineLevel="1" x14ac:dyDescent="0.25">
      <c r="A127" s="44"/>
      <c r="B127" s="11" t="str">
        <f>CONCATENATE("          ", "5200", " - ", "PURCHASES OFFSET")</f>
        <v xml:space="preserve">          5200 - PURCHASES OFFSET</v>
      </c>
      <c r="C127" s="11"/>
      <c r="D127" s="2">
        <v>-899387.86</v>
      </c>
      <c r="E127" s="2"/>
      <c r="F127" s="19">
        <f t="shared" si="22"/>
        <v>-0.35562853854974447</v>
      </c>
      <c r="G127" s="2"/>
      <c r="H127" s="2">
        <v>-434415.86</v>
      </c>
      <c r="I127" s="2"/>
      <c r="J127" s="19">
        <f t="shared" si="23"/>
        <v>-0.63867727473242186</v>
      </c>
      <c r="K127" s="2"/>
      <c r="L127" s="2">
        <f t="shared" si="24"/>
        <v>-464972</v>
      </c>
      <c r="M127" s="2"/>
      <c r="N127" s="19">
        <f t="shared" si="25"/>
        <v>1.0703384540334233</v>
      </c>
      <c r="O127" s="11"/>
      <c r="P127" s="2">
        <v>-2799251.37</v>
      </c>
      <c r="Q127" s="2"/>
      <c r="R127" s="19">
        <f t="shared" si="26"/>
        <v>-0.35562782753045807</v>
      </c>
      <c r="S127" s="2"/>
      <c r="T127" s="2">
        <v>-2796709.36</v>
      </c>
      <c r="U127" s="2"/>
      <c r="V127" s="19">
        <f t="shared" si="27"/>
        <v>-0.65590753632962095</v>
      </c>
      <c r="W127" s="2"/>
      <c r="X127" s="2">
        <f t="shared" si="28"/>
        <v>-2542.0100000002421</v>
      </c>
      <c r="Y127" s="2"/>
      <c r="Z127" s="19">
        <f t="shared" si="29"/>
        <v>9.0892891351436044E-4</v>
      </c>
    </row>
    <row r="128" spans="1:26" s="24" customFormat="1" hidden="1" outlineLevel="1" x14ac:dyDescent="0.25">
      <c r="A128" s="44"/>
      <c r="B128" s="11" t="str">
        <f>CONCATENATE("          ", "5300", " - ", "COG$ OFFSET")</f>
        <v xml:space="preserve">          5300 - COG$ OFFSET</v>
      </c>
      <c r="C128" s="11"/>
      <c r="D128" s="2">
        <v>457087.53</v>
      </c>
      <c r="E128" s="2"/>
      <c r="F128" s="19">
        <f t="shared" si="22"/>
        <v>0.18073778567926466</v>
      </c>
      <c r="G128" s="2"/>
      <c r="H128" s="2">
        <v>241934</v>
      </c>
      <c r="I128" s="2"/>
      <c r="J128" s="19">
        <f t="shared" si="23"/>
        <v>0.35569085296543673</v>
      </c>
      <c r="K128" s="2"/>
      <c r="L128" s="2">
        <f t="shared" si="24"/>
        <v>215153.53000000003</v>
      </c>
      <c r="M128" s="2"/>
      <c r="N128" s="19">
        <f t="shared" si="25"/>
        <v>0.88930671174783216</v>
      </c>
      <c r="O128" s="11"/>
      <c r="P128" s="2">
        <v>2259391.88</v>
      </c>
      <c r="Q128" s="2"/>
      <c r="R128" s="19">
        <f t="shared" si="26"/>
        <v>0.28704196930494219</v>
      </c>
      <c r="S128" s="2"/>
      <c r="T128" s="2">
        <v>2276964</v>
      </c>
      <c r="U128" s="2"/>
      <c r="V128" s="19">
        <f t="shared" si="27"/>
        <v>0.53401253233952028</v>
      </c>
      <c r="W128" s="2"/>
      <c r="X128" s="2">
        <f t="shared" si="28"/>
        <v>-17572.120000000112</v>
      </c>
      <c r="Y128" s="2"/>
      <c r="Z128" s="19">
        <f t="shared" si="29"/>
        <v>-7.7173464314763485E-3</v>
      </c>
    </row>
    <row r="129" spans="1:26" s="24" customFormat="1" hidden="1" outlineLevel="1" x14ac:dyDescent="0.25">
      <c r="A129" s="44"/>
      <c r="B129" s="11" t="str">
        <f>CONCATENATE("          ", "5500", " - ", "FREIGHT-IN")</f>
        <v xml:space="preserve">          5500 - FREIGHT-IN</v>
      </c>
      <c r="C129" s="11"/>
      <c r="D129" s="2">
        <v>22303.71</v>
      </c>
      <c r="E129" s="2"/>
      <c r="F129" s="19">
        <f t="shared" si="22"/>
        <v>8.8191492728591208E-3</v>
      </c>
      <c r="G129" s="2"/>
      <c r="H129" s="2"/>
      <c r="I129" s="2"/>
      <c r="J129" s="19">
        <f t="shared" si="23"/>
        <v>0</v>
      </c>
      <c r="K129" s="2"/>
      <c r="L129" s="2">
        <f t="shared" si="24"/>
        <v>22303.71</v>
      </c>
      <c r="M129" s="2"/>
      <c r="N129" s="19">
        <f t="shared" si="25"/>
        <v>0</v>
      </c>
      <c r="O129" s="11"/>
      <c r="P129" s="2">
        <v>49680.15</v>
      </c>
      <c r="Q129" s="2"/>
      <c r="R129" s="19">
        <f t="shared" si="26"/>
        <v>6.3115602997408865E-3</v>
      </c>
      <c r="S129" s="2"/>
      <c r="T129" s="2">
        <v>0</v>
      </c>
      <c r="U129" s="2"/>
      <c r="V129" s="19">
        <f t="shared" si="27"/>
        <v>0</v>
      </c>
      <c r="W129" s="2"/>
      <c r="X129" s="2">
        <f t="shared" si="28"/>
        <v>49680.15</v>
      </c>
      <c r="Y129" s="2"/>
      <c r="Z129" s="19">
        <f t="shared" si="29"/>
        <v>0</v>
      </c>
    </row>
    <row r="130" spans="1:26" s="24" customFormat="1" hidden="1" outlineLevel="1" x14ac:dyDescent="0.25">
      <c r="A130" s="44"/>
      <c r="B130" s="11" t="str">
        <f>CONCATENATE("          ", "5501", " - ", "FREIGHT-IN-NEW TEXT")</f>
        <v xml:space="preserve">          5501 - FREIGHT-IN-NEW TEXT</v>
      </c>
      <c r="C130" s="11"/>
      <c r="D130" s="2">
        <v>0</v>
      </c>
      <c r="E130" s="2"/>
      <c r="F130" s="19">
        <f t="shared" si="22"/>
        <v>0</v>
      </c>
      <c r="G130" s="2"/>
      <c r="H130" s="2">
        <v>23295.74</v>
      </c>
      <c r="I130" s="2"/>
      <c r="J130" s="19">
        <f t="shared" si="23"/>
        <v>3.4249347471050136E-2</v>
      </c>
      <c r="K130" s="2"/>
      <c r="L130" s="2">
        <f t="shared" si="24"/>
        <v>-23295.74</v>
      </c>
      <c r="M130" s="2"/>
      <c r="N130" s="19">
        <f t="shared" si="25"/>
        <v>-1</v>
      </c>
      <c r="O130" s="11"/>
      <c r="P130" s="2">
        <v>0</v>
      </c>
      <c r="Q130" s="2"/>
      <c r="R130" s="19">
        <f t="shared" si="26"/>
        <v>0</v>
      </c>
      <c r="S130" s="2"/>
      <c r="T130" s="2">
        <v>34058.620000000003</v>
      </c>
      <c r="U130" s="2"/>
      <c r="V130" s="19">
        <f t="shared" si="27"/>
        <v>7.9877107912946499E-3</v>
      </c>
      <c r="W130" s="2"/>
      <c r="X130" s="2">
        <f t="shared" si="28"/>
        <v>-34058.620000000003</v>
      </c>
      <c r="Y130" s="2"/>
      <c r="Z130" s="19">
        <f t="shared" si="29"/>
        <v>-1</v>
      </c>
    </row>
    <row r="131" spans="1:26" s="24" customFormat="1" hidden="1" outlineLevel="1" x14ac:dyDescent="0.25">
      <c r="A131" s="44"/>
      <c r="B131" s="11" t="str">
        <f>CONCATENATE("          ", "5502", " - ", "FREIGHT-IN-USED TEXT")</f>
        <v xml:space="preserve">          5502 - FREIGHT-IN-USED TEXT</v>
      </c>
      <c r="C131" s="11"/>
      <c r="D131" s="2"/>
      <c r="E131" s="2"/>
      <c r="F131" s="19">
        <f t="shared" si="22"/>
        <v>0</v>
      </c>
      <c r="G131" s="2"/>
      <c r="H131" s="2">
        <v>2233.9</v>
      </c>
      <c r="I131" s="2"/>
      <c r="J131" s="19">
        <f t="shared" si="23"/>
        <v>3.2842750355034397E-3</v>
      </c>
      <c r="K131" s="2"/>
      <c r="L131" s="2">
        <f t="shared" si="24"/>
        <v>-2233.9</v>
      </c>
      <c r="M131" s="2"/>
      <c r="N131" s="19">
        <f t="shared" si="25"/>
        <v>-1</v>
      </c>
      <c r="O131" s="11"/>
      <c r="P131" s="2">
        <v>0</v>
      </c>
      <c r="Q131" s="2"/>
      <c r="R131" s="19">
        <f t="shared" si="26"/>
        <v>0</v>
      </c>
      <c r="S131" s="2"/>
      <c r="T131" s="2">
        <v>10744.72</v>
      </c>
      <c r="U131" s="2"/>
      <c r="V131" s="19">
        <f t="shared" si="27"/>
        <v>2.5199410866746639E-3</v>
      </c>
      <c r="W131" s="2"/>
      <c r="X131" s="2">
        <f t="shared" si="28"/>
        <v>-10744.72</v>
      </c>
      <c r="Y131" s="2"/>
      <c r="Z131" s="19">
        <f t="shared" si="29"/>
        <v>-1</v>
      </c>
    </row>
    <row r="132" spans="1:26" s="24" customFormat="1" hidden="1" outlineLevel="1" x14ac:dyDescent="0.25">
      <c r="A132" s="44"/>
      <c r="B132" s="11" t="str">
        <f>CONCATENATE("          ", "5504", " - ", "FREIGHT-IN-DIGITAL TEXT")</f>
        <v xml:space="preserve">          5504 - FREIGHT-IN-DIGITAL TEXT</v>
      </c>
      <c r="C132" s="11"/>
      <c r="D132" s="2"/>
      <c r="E132" s="2"/>
      <c r="F132" s="19">
        <f t="shared" si="22"/>
        <v>0</v>
      </c>
      <c r="G132" s="2"/>
      <c r="H132" s="2">
        <v>10.99</v>
      </c>
      <c r="I132" s="2"/>
      <c r="J132" s="19">
        <f t="shared" si="23"/>
        <v>1.6157474658750528E-5</v>
      </c>
      <c r="K132" s="2"/>
      <c r="L132" s="2">
        <f t="shared" si="24"/>
        <v>-10.99</v>
      </c>
      <c r="M132" s="2"/>
      <c r="N132" s="19">
        <f t="shared" si="25"/>
        <v>-1</v>
      </c>
      <c r="O132" s="11"/>
      <c r="P132" s="2"/>
      <c r="Q132" s="2"/>
      <c r="R132" s="19">
        <f t="shared" si="26"/>
        <v>0</v>
      </c>
      <c r="S132" s="2"/>
      <c r="T132" s="2">
        <v>21.98</v>
      </c>
      <c r="U132" s="2"/>
      <c r="V132" s="19">
        <f t="shared" si="27"/>
        <v>5.1549323840089939E-6</v>
      </c>
      <c r="W132" s="2"/>
      <c r="X132" s="2">
        <f t="shared" si="28"/>
        <v>-21.98</v>
      </c>
      <c r="Y132" s="2"/>
      <c r="Z132" s="19">
        <f t="shared" si="29"/>
        <v>-1</v>
      </c>
    </row>
    <row r="133" spans="1:26" s="24" customFormat="1" hidden="1" outlineLevel="1" x14ac:dyDescent="0.25">
      <c r="A133" s="44"/>
      <c r="B133" s="11" t="str">
        <f>CONCATENATE("          ", "5518", " - ", "FREIGHT-IN-STUDY GUIDES")</f>
        <v xml:space="preserve">          5518 - FREIGHT-IN-STUDY GUIDES</v>
      </c>
      <c r="C133" s="11"/>
      <c r="D133" s="2"/>
      <c r="E133" s="2"/>
      <c r="F133" s="19">
        <f t="shared" si="22"/>
        <v>0</v>
      </c>
      <c r="G133" s="2"/>
      <c r="H133" s="2"/>
      <c r="I133" s="2"/>
      <c r="J133" s="19">
        <f t="shared" si="23"/>
        <v>0</v>
      </c>
      <c r="K133" s="2"/>
      <c r="L133" s="2">
        <f t="shared" si="24"/>
        <v>0</v>
      </c>
      <c r="M133" s="2"/>
      <c r="N133" s="19">
        <f t="shared" si="25"/>
        <v>0</v>
      </c>
      <c r="O133" s="11"/>
      <c r="P133" s="2">
        <v>0</v>
      </c>
      <c r="Q133" s="2"/>
      <c r="R133" s="19">
        <f t="shared" si="26"/>
        <v>0</v>
      </c>
      <c r="S133" s="2"/>
      <c r="T133" s="2"/>
      <c r="U133" s="2"/>
      <c r="V133" s="19">
        <f t="shared" si="27"/>
        <v>0</v>
      </c>
      <c r="W133" s="2"/>
      <c r="X133" s="2">
        <f t="shared" si="28"/>
        <v>0</v>
      </c>
      <c r="Y133" s="2"/>
      <c r="Z133" s="19">
        <f t="shared" si="29"/>
        <v>0</v>
      </c>
    </row>
    <row r="134" spans="1:26" s="24" customFormat="1" hidden="1" outlineLevel="1" x14ac:dyDescent="0.25">
      <c r="A134" s="44"/>
      <c r="B134" s="11" t="str">
        <f>CONCATENATE("          ", "5525", " - ", "FREIGHT-IN-TEST FORMS")</f>
        <v xml:space="preserve">          5525 - FREIGHT-IN-TEST FORMS</v>
      </c>
      <c r="C134" s="11"/>
      <c r="D134" s="2"/>
      <c r="E134" s="2"/>
      <c r="F134" s="19">
        <f t="shared" si="22"/>
        <v>0</v>
      </c>
      <c r="G134" s="2"/>
      <c r="H134" s="2">
        <v>48.14</v>
      </c>
      <c r="I134" s="2"/>
      <c r="J134" s="19">
        <f t="shared" si="23"/>
        <v>7.0775325757256631E-5</v>
      </c>
      <c r="K134" s="2"/>
      <c r="L134" s="2">
        <f t="shared" si="24"/>
        <v>-48.14</v>
      </c>
      <c r="M134" s="2"/>
      <c r="N134" s="19">
        <f t="shared" si="25"/>
        <v>-1</v>
      </c>
      <c r="O134" s="11"/>
      <c r="P134" s="2"/>
      <c r="Q134" s="2"/>
      <c r="R134" s="19">
        <f t="shared" si="26"/>
        <v>0</v>
      </c>
      <c r="S134" s="2"/>
      <c r="T134" s="2">
        <v>48.14</v>
      </c>
      <c r="U134" s="2"/>
      <c r="V134" s="19">
        <f t="shared" si="27"/>
        <v>1.1290193128580208E-5</v>
      </c>
      <c r="W134" s="2"/>
      <c r="X134" s="2">
        <f t="shared" si="28"/>
        <v>-48.14</v>
      </c>
      <c r="Y134" s="2"/>
      <c r="Z134" s="19">
        <f t="shared" si="29"/>
        <v>-1</v>
      </c>
    </row>
    <row r="135" spans="1:26" s="24" customFormat="1" hidden="1" outlineLevel="1" x14ac:dyDescent="0.25">
      <c r="A135" s="44"/>
      <c r="B135" s="11" t="str">
        <f>CONCATENATE("          ", "5527", " - ", "FREIGHT-IN-SCHOOL SUPPLIES")</f>
        <v xml:space="preserve">          5527 - FREIGHT-IN-SCHOOL SUPPLIES</v>
      </c>
      <c r="C135" s="11"/>
      <c r="D135" s="2"/>
      <c r="E135" s="2"/>
      <c r="F135" s="19">
        <f t="shared" si="22"/>
        <v>0</v>
      </c>
      <c r="G135" s="2"/>
      <c r="H135" s="2">
        <v>56</v>
      </c>
      <c r="I135" s="2"/>
      <c r="J135" s="19">
        <f t="shared" si="23"/>
        <v>8.2331081063696955E-5</v>
      </c>
      <c r="K135" s="2"/>
      <c r="L135" s="2">
        <f t="shared" si="24"/>
        <v>-56</v>
      </c>
      <c r="M135" s="2"/>
      <c r="N135" s="19">
        <f t="shared" si="25"/>
        <v>-1</v>
      </c>
      <c r="O135" s="11"/>
      <c r="P135" s="2">
        <v>0</v>
      </c>
      <c r="Q135" s="2"/>
      <c r="R135" s="19">
        <f t="shared" si="26"/>
        <v>0</v>
      </c>
      <c r="S135" s="2"/>
      <c r="T135" s="2">
        <v>56</v>
      </c>
      <c r="U135" s="2"/>
      <c r="V135" s="19">
        <f t="shared" si="27"/>
        <v>1.313358569174266E-5</v>
      </c>
      <c r="W135" s="2"/>
      <c r="X135" s="2">
        <f t="shared" si="28"/>
        <v>-56</v>
      </c>
      <c r="Y135" s="2"/>
      <c r="Z135" s="19">
        <f t="shared" si="29"/>
        <v>-1</v>
      </c>
    </row>
    <row r="136" spans="1:26" s="24" customFormat="1" hidden="1" outlineLevel="1" x14ac:dyDescent="0.25">
      <c r="A136" s="44"/>
      <c r="B136" s="11" t="str">
        <f>CONCATENATE("          ", "5528", " - ", "FREIGHT-IN-ART/TECH")</f>
        <v xml:space="preserve">          5528 - FREIGHT-IN-ART/TECH</v>
      </c>
      <c r="C136" s="11"/>
      <c r="D136" s="2"/>
      <c r="E136" s="2"/>
      <c r="F136" s="19">
        <f t="shared" si="22"/>
        <v>0</v>
      </c>
      <c r="G136" s="2"/>
      <c r="H136" s="2">
        <v>239.39</v>
      </c>
      <c r="I136" s="2"/>
      <c r="J136" s="19">
        <f t="shared" si="23"/>
        <v>3.519506695685431E-4</v>
      </c>
      <c r="K136" s="2"/>
      <c r="L136" s="2">
        <f t="shared" si="24"/>
        <v>-239.39</v>
      </c>
      <c r="M136" s="2"/>
      <c r="N136" s="19">
        <f t="shared" si="25"/>
        <v>-1</v>
      </c>
      <c r="O136" s="11"/>
      <c r="P136" s="2">
        <v>0</v>
      </c>
      <c r="Q136" s="2"/>
      <c r="R136" s="19">
        <f t="shared" si="26"/>
        <v>0</v>
      </c>
      <c r="S136" s="2"/>
      <c r="T136" s="2">
        <v>284.2</v>
      </c>
      <c r="U136" s="2"/>
      <c r="V136" s="19">
        <f t="shared" si="27"/>
        <v>6.6652947385594004E-5</v>
      </c>
      <c r="W136" s="2"/>
      <c r="X136" s="2">
        <f t="shared" si="28"/>
        <v>-284.2</v>
      </c>
      <c r="Y136" s="2"/>
      <c r="Z136" s="19">
        <f t="shared" si="29"/>
        <v>-1</v>
      </c>
    </row>
    <row r="137" spans="1:26" s="24" customFormat="1" hidden="1" outlineLevel="1" x14ac:dyDescent="0.25">
      <c r="A137" s="44"/>
      <c r="B137" s="11" t="str">
        <f>CONCATENATE("          ", "5540", " - ", "FREIGHT-IN-LOGO CLOTHING")</f>
        <v xml:space="preserve">          5540 - FREIGHT-IN-LOGO CLOTHING</v>
      </c>
      <c r="C137" s="11"/>
      <c r="D137" s="2"/>
      <c r="E137" s="2"/>
      <c r="F137" s="19">
        <f t="shared" si="22"/>
        <v>0</v>
      </c>
      <c r="G137" s="2"/>
      <c r="H137" s="2">
        <v>1036.57</v>
      </c>
      <c r="I137" s="2"/>
      <c r="J137" s="19">
        <f t="shared" si="23"/>
        <v>1.5239630124677919E-3</v>
      </c>
      <c r="K137" s="2"/>
      <c r="L137" s="2">
        <f t="shared" si="24"/>
        <v>-1036.57</v>
      </c>
      <c r="M137" s="2"/>
      <c r="N137" s="19">
        <f t="shared" si="25"/>
        <v>-1</v>
      </c>
      <c r="O137" s="11"/>
      <c r="P137" s="2">
        <v>0</v>
      </c>
      <c r="Q137" s="2"/>
      <c r="R137" s="19">
        <f t="shared" si="26"/>
        <v>0</v>
      </c>
      <c r="S137" s="2"/>
      <c r="T137" s="2">
        <v>3202.33</v>
      </c>
      <c r="U137" s="2"/>
      <c r="V137" s="19">
        <f t="shared" si="27"/>
        <v>7.5103706193282624E-4</v>
      </c>
      <c r="W137" s="2"/>
      <c r="X137" s="2">
        <f t="shared" si="28"/>
        <v>-3202.33</v>
      </c>
      <c r="Y137" s="2"/>
      <c r="Z137" s="19">
        <f t="shared" si="29"/>
        <v>-1</v>
      </c>
    </row>
    <row r="138" spans="1:26" s="24" customFormat="1" hidden="1" outlineLevel="1" x14ac:dyDescent="0.25">
      <c r="A138" s="44"/>
      <c r="B138" s="11" t="str">
        <f>CONCATENATE("          ", "5541", " - ", "FREIGHT-IN-LOGO GIFTS")</f>
        <v xml:space="preserve">          5541 - FREIGHT-IN-LOGO GIFTS</v>
      </c>
      <c r="C138" s="11"/>
      <c r="D138" s="2"/>
      <c r="E138" s="2"/>
      <c r="F138" s="19">
        <f t="shared" si="22"/>
        <v>0</v>
      </c>
      <c r="G138" s="2"/>
      <c r="H138" s="2">
        <v>773.7</v>
      </c>
      <c r="I138" s="2"/>
      <c r="J138" s="19">
        <f t="shared" si="23"/>
        <v>1.1374920967675416E-3</v>
      </c>
      <c r="K138" s="2"/>
      <c r="L138" s="2">
        <f t="shared" si="24"/>
        <v>-773.7</v>
      </c>
      <c r="M138" s="2"/>
      <c r="N138" s="19">
        <f t="shared" si="25"/>
        <v>-1</v>
      </c>
      <c r="O138" s="11"/>
      <c r="P138" s="2">
        <v>0</v>
      </c>
      <c r="Q138" s="2"/>
      <c r="R138" s="19">
        <f t="shared" si="26"/>
        <v>0</v>
      </c>
      <c r="S138" s="2"/>
      <c r="T138" s="2">
        <v>1134.81</v>
      </c>
      <c r="U138" s="2"/>
      <c r="V138" s="19">
        <f t="shared" si="27"/>
        <v>2.6614507819368728E-4</v>
      </c>
      <c r="W138" s="2"/>
      <c r="X138" s="2">
        <f t="shared" si="28"/>
        <v>-1134.81</v>
      </c>
      <c r="Y138" s="2"/>
      <c r="Z138" s="19">
        <f t="shared" si="29"/>
        <v>-1</v>
      </c>
    </row>
    <row r="139" spans="1:26" s="24" customFormat="1" hidden="1" outlineLevel="1" x14ac:dyDescent="0.25">
      <c r="A139" s="44"/>
      <c r="B139" s="11" t="str">
        <f>CONCATENATE("          ", "5542", " - ", "FREIGHT-IN-EVERYDAY GIFTS")</f>
        <v xml:space="preserve">          5542 - FREIGHT-IN-EVERYDAY GIFTS</v>
      </c>
      <c r="C139" s="11"/>
      <c r="D139" s="2"/>
      <c r="E139" s="2"/>
      <c r="F139" s="19">
        <f t="shared" si="22"/>
        <v>0</v>
      </c>
      <c r="G139" s="2"/>
      <c r="H139" s="2">
        <v>104.17</v>
      </c>
      <c r="I139" s="2"/>
      <c r="J139" s="19">
        <f t="shared" si="23"/>
        <v>1.5315051275723769E-4</v>
      </c>
      <c r="K139" s="2"/>
      <c r="L139" s="2">
        <f t="shared" si="24"/>
        <v>-104.17</v>
      </c>
      <c r="M139" s="2"/>
      <c r="N139" s="19">
        <f t="shared" si="25"/>
        <v>-1</v>
      </c>
      <c r="O139" s="11"/>
      <c r="P139" s="2">
        <v>0</v>
      </c>
      <c r="Q139" s="2"/>
      <c r="R139" s="19">
        <f t="shared" si="26"/>
        <v>0</v>
      </c>
      <c r="S139" s="2"/>
      <c r="T139" s="2">
        <v>175.55</v>
      </c>
      <c r="U139" s="2"/>
      <c r="V139" s="19">
        <f t="shared" si="27"/>
        <v>4.1171445860454001E-5</v>
      </c>
      <c r="W139" s="2"/>
      <c r="X139" s="2">
        <f t="shared" si="28"/>
        <v>-175.55</v>
      </c>
      <c r="Y139" s="2"/>
      <c r="Z139" s="19">
        <f t="shared" si="29"/>
        <v>-1</v>
      </c>
    </row>
    <row r="140" spans="1:26" s="24" customFormat="1" hidden="1" outlineLevel="1" x14ac:dyDescent="0.25">
      <c r="A140" s="44"/>
      <c r="B140" s="11" t="str">
        <f>CONCATENATE("          ", "5543", " - ", "FREIGHT-IN-CARDS")</f>
        <v xml:space="preserve">          5543 - FREIGHT-IN-CARDS</v>
      </c>
      <c r="C140" s="11"/>
      <c r="D140" s="2"/>
      <c r="E140" s="2"/>
      <c r="F140" s="19">
        <f t="shared" si="22"/>
        <v>0</v>
      </c>
      <c r="G140" s="2"/>
      <c r="H140" s="2">
        <v>107.42</v>
      </c>
      <c r="I140" s="2"/>
      <c r="J140" s="19">
        <f t="shared" si="23"/>
        <v>1.5792865585468441E-4</v>
      </c>
      <c r="K140" s="2"/>
      <c r="L140" s="2">
        <f t="shared" si="24"/>
        <v>-107.42</v>
      </c>
      <c r="M140" s="2"/>
      <c r="N140" s="19">
        <f t="shared" si="25"/>
        <v>-1</v>
      </c>
      <c r="O140" s="11"/>
      <c r="P140" s="2"/>
      <c r="Q140" s="2"/>
      <c r="R140" s="19">
        <f t="shared" si="26"/>
        <v>0</v>
      </c>
      <c r="S140" s="2"/>
      <c r="T140" s="2">
        <v>189.19</v>
      </c>
      <c r="U140" s="2"/>
      <c r="V140" s="19">
        <f t="shared" si="27"/>
        <v>4.4370412089657032E-5</v>
      </c>
      <c r="W140" s="2"/>
      <c r="X140" s="2">
        <f t="shared" si="28"/>
        <v>-189.19</v>
      </c>
      <c r="Y140" s="2"/>
      <c r="Z140" s="19">
        <f t="shared" si="29"/>
        <v>-1</v>
      </c>
    </row>
    <row r="141" spans="1:26" s="24" customFormat="1" hidden="1" outlineLevel="1" x14ac:dyDescent="0.25">
      <c r="A141" s="44"/>
      <c r="B141" s="11" t="str">
        <f>CONCATENATE("          ", "5544", " - ", "FREIGHT-IN-ACCESSORIES")</f>
        <v xml:space="preserve">          5544 - FREIGHT-IN-ACCESSORIES</v>
      </c>
      <c r="C141" s="11"/>
      <c r="D141" s="2"/>
      <c r="E141" s="2"/>
      <c r="F141" s="19">
        <f t="shared" si="22"/>
        <v>0</v>
      </c>
      <c r="G141" s="2"/>
      <c r="H141" s="2"/>
      <c r="I141" s="2"/>
      <c r="J141" s="19">
        <f t="shared" si="23"/>
        <v>0</v>
      </c>
      <c r="K141" s="2"/>
      <c r="L141" s="2">
        <f t="shared" si="24"/>
        <v>0</v>
      </c>
      <c r="M141" s="2"/>
      <c r="N141" s="19">
        <f t="shared" si="25"/>
        <v>0</v>
      </c>
      <c r="O141" s="11"/>
      <c r="P141" s="2">
        <v>0</v>
      </c>
      <c r="Q141" s="2"/>
      <c r="R141" s="19">
        <f t="shared" si="26"/>
        <v>0</v>
      </c>
      <c r="S141" s="2"/>
      <c r="T141" s="2"/>
      <c r="U141" s="2"/>
      <c r="V141" s="19">
        <f t="shared" si="27"/>
        <v>0</v>
      </c>
      <c r="W141" s="2"/>
      <c r="X141" s="2">
        <f t="shared" si="28"/>
        <v>0</v>
      </c>
      <c r="Y141" s="2"/>
      <c r="Z141" s="19">
        <f t="shared" si="29"/>
        <v>0</v>
      </c>
    </row>
    <row r="142" spans="1:26" s="24" customFormat="1" hidden="1" outlineLevel="1" x14ac:dyDescent="0.25">
      <c r="A142" s="44"/>
      <c r="B142" s="11" t="str">
        <f>CONCATENATE("          ", "5545", " - ", "FREIGHT-IN-SPECIAL ORDERS")</f>
        <v xml:space="preserve">          5545 - FREIGHT-IN-SPECIAL ORDERS</v>
      </c>
      <c r="C142" s="11"/>
      <c r="D142" s="2"/>
      <c r="E142" s="2"/>
      <c r="F142" s="19">
        <f t="shared" si="22"/>
        <v>0</v>
      </c>
      <c r="G142" s="2"/>
      <c r="H142" s="2">
        <v>189.66</v>
      </c>
      <c r="I142" s="2"/>
      <c r="J142" s="19">
        <f t="shared" si="23"/>
        <v>2.7883772918822791E-4</v>
      </c>
      <c r="K142" s="2"/>
      <c r="L142" s="2">
        <f t="shared" si="24"/>
        <v>-189.66</v>
      </c>
      <c r="M142" s="2"/>
      <c r="N142" s="19">
        <f t="shared" si="25"/>
        <v>-1</v>
      </c>
      <c r="O142" s="11"/>
      <c r="P142" s="2">
        <v>0</v>
      </c>
      <c r="Q142" s="2"/>
      <c r="R142" s="19">
        <f t="shared" si="26"/>
        <v>0</v>
      </c>
      <c r="S142" s="2"/>
      <c r="T142" s="2">
        <v>850.27</v>
      </c>
      <c r="U142" s="2"/>
      <c r="V142" s="19">
        <f t="shared" si="27"/>
        <v>1.9941239118067912E-4</v>
      </c>
      <c r="W142" s="2"/>
      <c r="X142" s="2">
        <f t="shared" si="28"/>
        <v>-850.27</v>
      </c>
      <c r="Y142" s="2"/>
      <c r="Z142" s="19">
        <f t="shared" si="29"/>
        <v>-1</v>
      </c>
    </row>
    <row r="143" spans="1:26" s="24" customFormat="1" hidden="1" outlineLevel="1" x14ac:dyDescent="0.25">
      <c r="A143" s="44"/>
      <c r="B143" s="11" t="str">
        <f>CONCATENATE("          ", "5582", " - ", "FREIGHT-IN-COMPUTER HARDWARE")</f>
        <v xml:space="preserve">          5582 - FREIGHT-IN-COMPUTER HARDWARE</v>
      </c>
      <c r="C143" s="11"/>
      <c r="D143" s="2"/>
      <c r="E143" s="2"/>
      <c r="F143" s="19">
        <f t="shared" si="22"/>
        <v>0</v>
      </c>
      <c r="G143" s="2"/>
      <c r="H143" s="2">
        <v>70</v>
      </c>
      <c r="I143" s="2"/>
      <c r="J143" s="19">
        <f t="shared" si="23"/>
        <v>1.0291385132962119E-4</v>
      </c>
      <c r="K143" s="2"/>
      <c r="L143" s="2">
        <f t="shared" si="24"/>
        <v>-70</v>
      </c>
      <c r="M143" s="2"/>
      <c r="N143" s="19">
        <f t="shared" si="25"/>
        <v>-1</v>
      </c>
      <c r="O143" s="11"/>
      <c r="P143" s="2"/>
      <c r="Q143" s="2"/>
      <c r="R143" s="19">
        <f t="shared" si="26"/>
        <v>0</v>
      </c>
      <c r="S143" s="2"/>
      <c r="T143" s="2">
        <v>94</v>
      </c>
      <c r="U143" s="2"/>
      <c r="V143" s="19">
        <f t="shared" si="27"/>
        <v>2.204566169685375E-5</v>
      </c>
      <c r="W143" s="2"/>
      <c r="X143" s="2">
        <f t="shared" si="28"/>
        <v>-94</v>
      </c>
      <c r="Y143" s="2"/>
      <c r="Z143" s="19">
        <f t="shared" si="29"/>
        <v>-1</v>
      </c>
    </row>
    <row r="144" spans="1:26" s="24" customFormat="1" hidden="1" outlineLevel="1" x14ac:dyDescent="0.25">
      <c r="A144" s="44"/>
      <c r="B144" s="11" t="str">
        <f>CONCATENATE("          ", "5583", " - ", "FREIGHT-IN-COMPUTER EQUIPMENT")</f>
        <v xml:space="preserve">          5583 - FREIGHT-IN-COMPUTER EQUIPMENT</v>
      </c>
      <c r="C144" s="11"/>
      <c r="D144" s="2"/>
      <c r="E144" s="2"/>
      <c r="F144" s="19">
        <f t="shared" si="22"/>
        <v>0</v>
      </c>
      <c r="G144" s="2"/>
      <c r="H144" s="2">
        <v>51.78</v>
      </c>
      <c r="I144" s="2"/>
      <c r="J144" s="19">
        <f t="shared" si="23"/>
        <v>7.6126846026396938E-5</v>
      </c>
      <c r="K144" s="2"/>
      <c r="L144" s="2">
        <f t="shared" si="24"/>
        <v>-51.78</v>
      </c>
      <c r="M144" s="2"/>
      <c r="N144" s="19">
        <f t="shared" si="25"/>
        <v>-1</v>
      </c>
      <c r="O144" s="11"/>
      <c r="P144" s="2">
        <v>0</v>
      </c>
      <c r="Q144" s="2"/>
      <c r="R144" s="19">
        <f t="shared" si="26"/>
        <v>0</v>
      </c>
      <c r="S144" s="2"/>
      <c r="T144" s="2">
        <v>225.17</v>
      </c>
      <c r="U144" s="2"/>
      <c r="V144" s="19">
        <f t="shared" si="27"/>
        <v>5.2808740896601692E-5</v>
      </c>
      <c r="W144" s="2"/>
      <c r="X144" s="2">
        <f t="shared" si="28"/>
        <v>-225.17</v>
      </c>
      <c r="Y144" s="2"/>
      <c r="Z144" s="19">
        <f t="shared" si="29"/>
        <v>-1</v>
      </c>
    </row>
    <row r="145" spans="1:26" s="24" customFormat="1" hidden="1" outlineLevel="1" x14ac:dyDescent="0.25">
      <c r="A145" s="44"/>
      <c r="B145" s="11" t="str">
        <f>CONCATENATE("          ", "5586", " - ", "FREIGHT-IN-COMPUTER SUPPLIES")</f>
        <v xml:space="preserve">          5586 - FREIGHT-IN-COMPUTER SUPPLIES</v>
      </c>
      <c r="C145" s="11"/>
      <c r="D145" s="2"/>
      <c r="E145" s="2"/>
      <c r="F145" s="19">
        <f t="shared" si="22"/>
        <v>0</v>
      </c>
      <c r="G145" s="2"/>
      <c r="H145" s="2"/>
      <c r="I145" s="2"/>
      <c r="J145" s="19">
        <f t="shared" si="23"/>
        <v>0</v>
      </c>
      <c r="K145" s="2"/>
      <c r="L145" s="2">
        <f t="shared" si="24"/>
        <v>0</v>
      </c>
      <c r="M145" s="2"/>
      <c r="N145" s="19">
        <f t="shared" si="25"/>
        <v>0</v>
      </c>
      <c r="O145" s="11"/>
      <c r="P145" s="2"/>
      <c r="Q145" s="2"/>
      <c r="R145" s="19">
        <f t="shared" si="26"/>
        <v>0</v>
      </c>
      <c r="S145" s="2"/>
      <c r="T145" s="2">
        <v>24.12</v>
      </c>
      <c r="U145" s="2"/>
      <c r="V145" s="19">
        <f t="shared" si="27"/>
        <v>5.656822980086303E-6</v>
      </c>
      <c r="W145" s="2"/>
      <c r="X145" s="2">
        <f t="shared" si="28"/>
        <v>-24.12</v>
      </c>
      <c r="Y145" s="2"/>
      <c r="Z145" s="19">
        <f t="shared" si="29"/>
        <v>-1</v>
      </c>
    </row>
    <row r="146" spans="1:26" s="24" customFormat="1" hidden="1" outlineLevel="1" x14ac:dyDescent="0.25">
      <c r="A146" s="44"/>
      <c r="B146" s="11" t="str">
        <f>CONCATENATE("          ", "5592", " - ", "FREIGHT-IN-GRAD MERCH")</f>
        <v xml:space="preserve">          5592 - FREIGHT-IN-GRAD MERCH</v>
      </c>
      <c r="C146" s="11"/>
      <c r="D146" s="2"/>
      <c r="E146" s="2"/>
      <c r="F146" s="19">
        <f t="shared" si="22"/>
        <v>0</v>
      </c>
      <c r="G146" s="2"/>
      <c r="H146" s="2"/>
      <c r="I146" s="2"/>
      <c r="J146" s="19">
        <f t="shared" si="23"/>
        <v>0</v>
      </c>
      <c r="K146" s="2"/>
      <c r="L146" s="2">
        <f t="shared" si="24"/>
        <v>0</v>
      </c>
      <c r="M146" s="2"/>
      <c r="N146" s="19">
        <f t="shared" si="25"/>
        <v>0</v>
      </c>
      <c r="O146" s="11"/>
      <c r="P146" s="2"/>
      <c r="Q146" s="2"/>
      <c r="R146" s="19">
        <f t="shared" si="26"/>
        <v>0</v>
      </c>
      <c r="S146" s="2"/>
      <c r="T146" s="2">
        <v>0</v>
      </c>
      <c r="U146" s="2"/>
      <c r="V146" s="19">
        <f t="shared" si="27"/>
        <v>0</v>
      </c>
      <c r="W146" s="2"/>
      <c r="X146" s="2">
        <f t="shared" si="28"/>
        <v>0</v>
      </c>
      <c r="Y146" s="2"/>
      <c r="Z146" s="19">
        <f t="shared" si="29"/>
        <v>0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x14ac:dyDescent="0.25">
      <c r="A148" s="10"/>
      <c r="B148" s="26" t="s">
        <v>107</v>
      </c>
      <c r="C148" s="26"/>
      <c r="D148" s="22">
        <f>D12-D99</f>
        <v>1553123.0100000002</v>
      </c>
      <c r="E148" s="13"/>
      <c r="F148" s="20">
        <f>IF(D$12=0,0,D148/D$12)</f>
        <v>0.61412310616943422</v>
      </c>
      <c r="G148" s="13"/>
      <c r="H148" s="22">
        <f>H12-H99</f>
        <v>346546.22000000026</v>
      </c>
      <c r="I148" s="13"/>
      <c r="J148" s="20">
        <f>IF(H$12=0,0,H148/H$12)</f>
        <v>0.50949151662746039</v>
      </c>
      <c r="K148" s="15"/>
      <c r="L148" s="22">
        <f>+D148-H148</f>
        <v>1206576.79</v>
      </c>
      <c r="M148" s="15"/>
      <c r="N148" s="20">
        <f>IF(H148=0,0,L148/H148)</f>
        <v>3.481719667869986</v>
      </c>
      <c r="O148" s="25"/>
      <c r="P148" s="22">
        <f>P12-P99</f>
        <v>4268113.2300000014</v>
      </c>
      <c r="Q148" s="13"/>
      <c r="R148" s="20">
        <f>IF(P$12=0,0,P148/P$12)</f>
        <v>0.54223777539453588</v>
      </c>
      <c r="S148" s="13"/>
      <c r="T148" s="22">
        <f>T12-T99</f>
        <v>1446522.949999996</v>
      </c>
      <c r="U148" s="13"/>
      <c r="V148" s="20">
        <f>IF(T$12=0,0,T148/T$12)</f>
        <v>0.33925059140888092</v>
      </c>
      <c r="W148" s="15"/>
      <c r="X148" s="22">
        <f>+P148-T148</f>
        <v>2821590.2800000054</v>
      </c>
      <c r="Y148" s="15"/>
      <c r="Z148" s="20">
        <f>IF(T148=0,0,X148/T148)</f>
        <v>1.9506018069053195</v>
      </c>
    </row>
    <row r="149" spans="1:26" x14ac:dyDescent="0.25">
      <c r="A149" s="9"/>
      <c r="B149" s="10"/>
      <c r="C149" s="9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7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x14ac:dyDescent="0.25">
      <c r="A150" s="10"/>
      <c r="B150" s="25" t="s">
        <v>294</v>
      </c>
      <c r="C150" s="10"/>
      <c r="D150" s="21">
        <f>SUM(OSRRefD22x_0)</f>
        <v>1365689.3300000005</v>
      </c>
      <c r="E150" s="21"/>
      <c r="F150" s="36">
        <f t="shared" ref="F150:F161" si="30">IF(D$12=0,0,D150/D$12)</f>
        <v>0.54000962448045486</v>
      </c>
      <c r="G150" s="21"/>
      <c r="H150" s="21">
        <f>SUM(OSRRefH22x_0)</f>
        <v>914242.09</v>
      </c>
      <c r="I150" s="21"/>
      <c r="J150" s="36">
        <f t="shared" ref="J150:J161" si="31">IF(H$12=0,0,H150/H$12)</f>
        <v>1.3441167789934594</v>
      </c>
      <c r="K150" s="4"/>
      <c r="L150" s="21">
        <f t="shared" ref="L150:L161" si="32">+D150-H150</f>
        <v>451447.24000000057</v>
      </c>
      <c r="M150" s="4"/>
      <c r="N150" s="36">
        <f t="shared" ref="N150:N161" si="33">IF(H150=0,0,L150/H150)</f>
        <v>0.4937939796668086</v>
      </c>
      <c r="O150" s="10"/>
      <c r="P150" s="21">
        <f>SUM(OSRRefP22x_0)</f>
        <v>4180250.9999999991</v>
      </c>
      <c r="Q150" s="21"/>
      <c r="R150" s="36">
        <f t="shared" ref="R150:R161" si="34">IF(P$12=0,0,P150/P$12)</f>
        <v>0.53107541451771245</v>
      </c>
      <c r="S150" s="21"/>
      <c r="T150" s="21">
        <f>SUM(OSRRefT22x_0)</f>
        <v>2912884.35</v>
      </c>
      <c r="U150" s="21"/>
      <c r="V150" s="36">
        <f t="shared" ref="V150:V161" si="35">IF(T$12=0,0,T150/T$12)</f>
        <v>0.68315386108680576</v>
      </c>
      <c r="W150" s="4"/>
      <c r="X150" s="21">
        <f t="shared" ref="X150:X161" si="36">+P150-T150</f>
        <v>1267366.649999999</v>
      </c>
      <c r="Y150" s="4"/>
      <c r="Z150" s="36">
        <f t="shared" ref="Z150:Z161" si="37">IF(T150=0,0,X150/T150)</f>
        <v>0.43508993070734131</v>
      </c>
    </row>
    <row r="151" spans="1:26" s="28" customFormat="1" outlineLevel="1" collapsed="1" x14ac:dyDescent="0.25">
      <c r="A151" s="27"/>
      <c r="B151" s="14" t="str">
        <f>CONCATENATE("     ","*Benefits                                         ")</f>
        <v xml:space="preserve">     *Benefits                                         </v>
      </c>
      <c r="C151" s="14"/>
      <c r="D151" s="1">
        <f>SUM(OSRRefD22_0x_0)</f>
        <v>210175.09000000003</v>
      </c>
      <c r="E151" s="1"/>
      <c r="F151" s="5">
        <f t="shared" si="30"/>
        <v>8.3105702690117494E-2</v>
      </c>
      <c r="G151" s="1"/>
      <c r="H151" s="1">
        <f>SUM(OSRRefH22_0x_0)</f>
        <v>172384.21000000002</v>
      </c>
      <c r="I151" s="1"/>
      <c r="J151" s="5">
        <f t="shared" si="31"/>
        <v>0.25343889942163145</v>
      </c>
      <c r="K151" s="1"/>
      <c r="L151" s="1">
        <f t="shared" si="32"/>
        <v>37790.880000000005</v>
      </c>
      <c r="M151" s="1"/>
      <c r="N151" s="5">
        <f t="shared" si="33"/>
        <v>0.21922471901573815</v>
      </c>
      <c r="O151" s="14"/>
      <c r="P151" s="1">
        <f>SUM(OSRRefP22_0x_0)</f>
        <v>684886.59</v>
      </c>
      <c r="Q151" s="1"/>
      <c r="R151" s="5">
        <f t="shared" si="34"/>
        <v>8.7010667465152847E-2</v>
      </c>
      <c r="S151" s="1"/>
      <c r="T151" s="1">
        <f>SUM(OSRRefT22_0x_0)</f>
        <v>635961.71</v>
      </c>
      <c r="U151" s="1"/>
      <c r="V151" s="5">
        <f t="shared" si="35"/>
        <v>0.14915102883843204</v>
      </c>
      <c r="W151" s="1"/>
      <c r="X151" s="1">
        <f t="shared" si="36"/>
        <v>48924.880000000005</v>
      </c>
      <c r="Y151" s="1"/>
      <c r="Z151" s="5">
        <f t="shared" si="37"/>
        <v>7.6930543507092594E-2</v>
      </c>
    </row>
    <row r="152" spans="1:26" s="24" customFormat="1" hidden="1" outlineLevel="2" x14ac:dyDescent="0.25">
      <c r="A152" s="29"/>
      <c r="B152" s="11" t="str">
        <f>CONCATENATE("          ", "6111", " - ", "F.I.C.A.")</f>
        <v xml:space="preserve">          6111 - F.I.C.A.</v>
      </c>
      <c r="C152" s="11"/>
      <c r="D152" s="6">
        <v>38709.18</v>
      </c>
      <c r="E152" s="2"/>
      <c r="F152" s="7">
        <f t="shared" si="30"/>
        <v>1.5306065073925944E-2</v>
      </c>
      <c r="G152" s="2"/>
      <c r="H152" s="6">
        <v>33152.58</v>
      </c>
      <c r="I152" s="2"/>
      <c r="J152" s="7">
        <f t="shared" si="31"/>
        <v>4.8740852704476756E-2</v>
      </c>
      <c r="K152" s="2"/>
      <c r="L152" s="6">
        <f t="shared" si="32"/>
        <v>5556.5999999999985</v>
      </c>
      <c r="M152" s="2"/>
      <c r="N152" s="7">
        <f t="shared" si="33"/>
        <v>0.16760686498607344</v>
      </c>
      <c r="O152" s="11"/>
      <c r="P152" s="6">
        <v>115464.69</v>
      </c>
      <c r="Q152" s="2"/>
      <c r="R152" s="7">
        <f t="shared" si="34"/>
        <v>1.4669085206584291E-2</v>
      </c>
      <c r="S152" s="2"/>
      <c r="T152" s="6">
        <v>98830.79</v>
      </c>
      <c r="U152" s="2"/>
      <c r="V152" s="7">
        <f t="shared" si="35"/>
        <v>2.3178618740136134E-2</v>
      </c>
      <c r="W152" s="2"/>
      <c r="X152" s="6">
        <f t="shared" si="36"/>
        <v>16633.900000000009</v>
      </c>
      <c r="Y152" s="2"/>
      <c r="Z152" s="7">
        <f t="shared" si="37"/>
        <v>0.16830686064535161</v>
      </c>
    </row>
    <row r="153" spans="1:26" s="24" customFormat="1" hidden="1" outlineLevel="2" x14ac:dyDescent="0.25">
      <c r="A153" s="29"/>
      <c r="B153" s="11" t="str">
        <f>CONCATENATE("          ", "6112", " - ", "COMPENSATION INSURANCE")</f>
        <v xml:space="preserve">          6112 - COMPENSATION INSURANCE</v>
      </c>
      <c r="C153" s="11"/>
      <c r="D153" s="6">
        <v>19703.22</v>
      </c>
      <c r="E153" s="2"/>
      <c r="F153" s="7">
        <f t="shared" si="30"/>
        <v>7.7908849395900192E-3</v>
      </c>
      <c r="G153" s="2"/>
      <c r="H153" s="6">
        <v>7630.81</v>
      </c>
      <c r="I153" s="2"/>
      <c r="J153" s="7">
        <f t="shared" si="31"/>
        <v>1.1218800655208382E-2</v>
      </c>
      <c r="K153" s="2"/>
      <c r="L153" s="6">
        <f t="shared" si="32"/>
        <v>12072.41</v>
      </c>
      <c r="M153" s="2"/>
      <c r="N153" s="7">
        <f t="shared" si="33"/>
        <v>1.5820614063251475</v>
      </c>
      <c r="O153" s="11"/>
      <c r="P153" s="6">
        <v>47864.46</v>
      </c>
      <c r="Q153" s="2"/>
      <c r="R153" s="7">
        <f t="shared" si="34"/>
        <v>6.0808879503088387E-3</v>
      </c>
      <c r="S153" s="2"/>
      <c r="T153" s="6">
        <v>31615.78</v>
      </c>
      <c r="U153" s="2"/>
      <c r="V153" s="7">
        <f t="shared" si="35"/>
        <v>7.4147956400229245E-3</v>
      </c>
      <c r="W153" s="2"/>
      <c r="X153" s="6">
        <f t="shared" si="36"/>
        <v>16248.68</v>
      </c>
      <c r="Y153" s="2"/>
      <c r="Z153" s="7">
        <f t="shared" si="37"/>
        <v>0.51394208841281164</v>
      </c>
    </row>
    <row r="154" spans="1:26" s="24" customFormat="1" hidden="1" outlineLevel="2" x14ac:dyDescent="0.25">
      <c r="A154" s="29"/>
      <c r="B154" s="11" t="str">
        <f>CONCATENATE("          ", "6113", " - ", "GROUP INSURANCE")</f>
        <v xml:space="preserve">          6113 - GROUP INSURANCE</v>
      </c>
      <c r="C154" s="11"/>
      <c r="D154" s="6">
        <v>75366.91</v>
      </c>
      <c r="E154" s="2"/>
      <c r="F154" s="7">
        <f t="shared" si="30"/>
        <v>2.9800962688455813E-2</v>
      </c>
      <c r="G154" s="2"/>
      <c r="H154" s="6">
        <v>74141.570000000007</v>
      </c>
      <c r="I154" s="2"/>
      <c r="J154" s="7">
        <f t="shared" si="31"/>
        <v>0.10900277874749575</v>
      </c>
      <c r="K154" s="2"/>
      <c r="L154" s="6">
        <f t="shared" si="32"/>
        <v>1225.3399999999965</v>
      </c>
      <c r="M154" s="2"/>
      <c r="N154" s="7">
        <f t="shared" si="33"/>
        <v>1.6527030652304726E-2</v>
      </c>
      <c r="O154" s="11"/>
      <c r="P154" s="6">
        <v>298042.89</v>
      </c>
      <c r="Q154" s="2"/>
      <c r="R154" s="7">
        <f t="shared" si="34"/>
        <v>3.7864532859583556E-2</v>
      </c>
      <c r="S154" s="2"/>
      <c r="T154" s="6">
        <v>300191.68</v>
      </c>
      <c r="U154" s="2"/>
      <c r="V154" s="7">
        <f t="shared" si="35"/>
        <v>7.0403449164789134E-2</v>
      </c>
      <c r="W154" s="2"/>
      <c r="X154" s="6">
        <f t="shared" si="36"/>
        <v>-2148.789999999979</v>
      </c>
      <c r="Y154" s="2"/>
      <c r="Z154" s="7">
        <f t="shared" si="37"/>
        <v>-7.1580598103184578E-3</v>
      </c>
    </row>
    <row r="155" spans="1:26" s="24" customFormat="1" hidden="1" outlineLevel="2" x14ac:dyDescent="0.25">
      <c r="A155" s="29"/>
      <c r="B155" s="11" t="str">
        <f>CONCATENATE("          ", "6114", " - ", "STATE UNEMPLOYMENT INSURANCE")</f>
        <v xml:space="preserve">          6114 - STATE UNEMPLOYMENT INSURANCE</v>
      </c>
      <c r="C155" s="11"/>
      <c r="D155" s="6">
        <v>1883.57</v>
      </c>
      <c r="E155" s="2"/>
      <c r="F155" s="7">
        <f t="shared" si="30"/>
        <v>7.44785732771779E-4</v>
      </c>
      <c r="G155" s="2"/>
      <c r="H155" s="6">
        <v>756.23</v>
      </c>
      <c r="I155" s="2"/>
      <c r="J155" s="7">
        <f t="shared" si="31"/>
        <v>1.1118077398714205E-3</v>
      </c>
      <c r="K155" s="2"/>
      <c r="L155" s="6">
        <f t="shared" si="32"/>
        <v>1127.3399999999999</v>
      </c>
      <c r="M155" s="2"/>
      <c r="N155" s="7">
        <f t="shared" si="33"/>
        <v>1.490736945109292</v>
      </c>
      <c r="O155" s="11"/>
      <c r="P155" s="6">
        <v>4883.93</v>
      </c>
      <c r="Q155" s="2"/>
      <c r="R155" s="7">
        <f t="shared" si="34"/>
        <v>6.2047354314979941E-4</v>
      </c>
      <c r="S155" s="2"/>
      <c r="T155" s="6">
        <v>3240.67</v>
      </c>
      <c r="U155" s="2"/>
      <c r="V155" s="7">
        <f t="shared" si="35"/>
        <v>7.600288775653516E-4</v>
      </c>
      <c r="W155" s="2"/>
      <c r="X155" s="6">
        <f t="shared" si="36"/>
        <v>1643.2600000000002</v>
      </c>
      <c r="Y155" s="2"/>
      <c r="Z155" s="7">
        <f t="shared" si="37"/>
        <v>0.50707415441868509</v>
      </c>
    </row>
    <row r="156" spans="1:26" s="24" customFormat="1" hidden="1" outlineLevel="2" x14ac:dyDescent="0.25">
      <c r="A156" s="29"/>
      <c r="B156" s="11" t="str">
        <f>CONCATENATE("          ", "6115", " - ", "P.E.R.S.")</f>
        <v xml:space="preserve">          6115 - P.E.R.S.</v>
      </c>
      <c r="C156" s="11"/>
      <c r="D156" s="6">
        <v>21103.68</v>
      </c>
      <c r="E156" s="2"/>
      <c r="F156" s="7">
        <f t="shared" si="30"/>
        <v>8.3446432959651817E-3</v>
      </c>
      <c r="G156" s="2"/>
      <c r="H156" s="6">
        <v>12331.13</v>
      </c>
      <c r="I156" s="2"/>
      <c r="J156" s="7">
        <f t="shared" si="31"/>
        <v>1.8129201136374739E-2</v>
      </c>
      <c r="K156" s="2"/>
      <c r="L156" s="6">
        <f t="shared" si="32"/>
        <v>8772.5500000000011</v>
      </c>
      <c r="M156" s="2"/>
      <c r="N156" s="7">
        <f t="shared" si="33"/>
        <v>0.71141493115391707</v>
      </c>
      <c r="O156" s="11"/>
      <c r="P156" s="6">
        <v>62782.55</v>
      </c>
      <c r="Q156" s="2"/>
      <c r="R156" s="7">
        <f t="shared" si="34"/>
        <v>7.9761403718889168E-3</v>
      </c>
      <c r="S156" s="2"/>
      <c r="T156" s="6">
        <v>61840.480000000003</v>
      </c>
      <c r="U156" s="2"/>
      <c r="V156" s="7">
        <f t="shared" si="35"/>
        <v>1.4503343630330325E-2</v>
      </c>
      <c r="W156" s="2"/>
      <c r="X156" s="6">
        <f t="shared" si="36"/>
        <v>942.06999999999971</v>
      </c>
      <c r="Y156" s="2"/>
      <c r="Z156" s="7">
        <f t="shared" si="37"/>
        <v>1.523387269956507E-2</v>
      </c>
    </row>
    <row r="157" spans="1:26" s="24" customFormat="1" hidden="1" outlineLevel="2" x14ac:dyDescent="0.25">
      <c r="A157" s="29"/>
      <c r="B157" s="11" t="str">
        <f>CONCATENATE("          ", "6116", " - ", "EDUCATIONAL BENEFITS")</f>
        <v xml:space="preserve">          6116 - EDUCATIONAL BENEFITS</v>
      </c>
      <c r="C157" s="11"/>
      <c r="D157" s="6"/>
      <c r="E157" s="2"/>
      <c r="F157" s="7">
        <f t="shared" si="30"/>
        <v>0</v>
      </c>
      <c r="G157" s="2"/>
      <c r="H157" s="6"/>
      <c r="I157" s="2"/>
      <c r="J157" s="7">
        <f t="shared" si="31"/>
        <v>0</v>
      </c>
      <c r="K157" s="2"/>
      <c r="L157" s="6">
        <f t="shared" si="32"/>
        <v>0</v>
      </c>
      <c r="M157" s="2"/>
      <c r="N157" s="7">
        <f t="shared" si="33"/>
        <v>0</v>
      </c>
      <c r="O157" s="11"/>
      <c r="P157" s="6"/>
      <c r="Q157" s="2"/>
      <c r="R157" s="7">
        <f t="shared" si="34"/>
        <v>0</v>
      </c>
      <c r="S157" s="2"/>
      <c r="T157" s="6">
        <v>0</v>
      </c>
      <c r="U157" s="2"/>
      <c r="V157" s="7">
        <f t="shared" si="35"/>
        <v>0</v>
      </c>
      <c r="W157" s="2"/>
      <c r="X157" s="6">
        <f t="shared" si="36"/>
        <v>0</v>
      </c>
      <c r="Y157" s="2"/>
      <c r="Z157" s="7">
        <f t="shared" si="37"/>
        <v>0</v>
      </c>
    </row>
    <row r="158" spans="1:26" s="24" customFormat="1" hidden="1" outlineLevel="2" x14ac:dyDescent="0.25">
      <c r="A158" s="29"/>
      <c r="B158" s="11" t="str">
        <f>CONCATENATE("          ", "6117", " - ", "RETIREMENT STAFF HOURLY")</f>
        <v xml:space="preserve">          6117 - RETIREMENT STAFF HOURLY</v>
      </c>
      <c r="C158" s="11"/>
      <c r="D158" s="6">
        <v>1504.14</v>
      </c>
      <c r="E158" s="2"/>
      <c r="F158" s="7">
        <f t="shared" si="30"/>
        <v>5.9475464787151194E-4</v>
      </c>
      <c r="G158" s="2"/>
      <c r="H158" s="6">
        <v>1868.21</v>
      </c>
      <c r="I158" s="2"/>
      <c r="J158" s="7">
        <f t="shared" si="31"/>
        <v>2.7466383741787371E-3</v>
      </c>
      <c r="K158" s="2"/>
      <c r="L158" s="6">
        <f t="shared" si="32"/>
        <v>-364.06999999999994</v>
      </c>
      <c r="M158" s="2"/>
      <c r="N158" s="7">
        <f t="shared" si="33"/>
        <v>-0.19487637899379617</v>
      </c>
      <c r="O158" s="11"/>
      <c r="P158" s="6">
        <v>8558.94</v>
      </c>
      <c r="Q158" s="2"/>
      <c r="R158" s="7">
        <f t="shared" si="34"/>
        <v>1.0873611676265925E-3</v>
      </c>
      <c r="S158" s="2"/>
      <c r="T158" s="6">
        <v>8484.51</v>
      </c>
      <c r="U158" s="2"/>
      <c r="V158" s="7">
        <f t="shared" si="35"/>
        <v>1.9898578417401344E-3</v>
      </c>
      <c r="W158" s="2"/>
      <c r="X158" s="6">
        <f t="shared" si="36"/>
        <v>74.430000000000291</v>
      </c>
      <c r="Y158" s="2"/>
      <c r="Z158" s="7">
        <f t="shared" si="37"/>
        <v>8.772457101235108E-3</v>
      </c>
    </row>
    <row r="159" spans="1:26" s="24" customFormat="1" hidden="1" outlineLevel="2" x14ac:dyDescent="0.25">
      <c r="A159" s="29"/>
      <c r="B159" s="11" t="str">
        <f>CONCATENATE("          ", "6118", " - ", "VACATION")</f>
        <v xml:space="preserve">          6118 - VACATION</v>
      </c>
      <c r="C159" s="11"/>
      <c r="D159" s="6">
        <v>23268.83</v>
      </c>
      <c r="E159" s="2"/>
      <c r="F159" s="7">
        <f t="shared" si="30"/>
        <v>9.200769072714025E-3</v>
      </c>
      <c r="G159" s="2"/>
      <c r="H159" s="6">
        <v>21889.86</v>
      </c>
      <c r="I159" s="2"/>
      <c r="J159" s="7">
        <f t="shared" si="31"/>
        <v>3.2182425680946022E-2</v>
      </c>
      <c r="K159" s="2"/>
      <c r="L159" s="6">
        <f t="shared" si="32"/>
        <v>1378.9700000000012</v>
      </c>
      <c r="M159" s="2"/>
      <c r="N159" s="7">
        <f t="shared" si="33"/>
        <v>6.2995834601043646E-2</v>
      </c>
      <c r="O159" s="11"/>
      <c r="P159" s="6">
        <v>69192.12</v>
      </c>
      <c r="Q159" s="2"/>
      <c r="R159" s="7">
        <f t="shared" si="34"/>
        <v>8.790437179575894E-3</v>
      </c>
      <c r="S159" s="2"/>
      <c r="T159" s="6">
        <v>66166.710000000006</v>
      </c>
      <c r="U159" s="2"/>
      <c r="V159" s="7">
        <f t="shared" si="35"/>
        <v>1.5517967066530108E-2</v>
      </c>
      <c r="W159" s="2"/>
      <c r="X159" s="6">
        <f t="shared" si="36"/>
        <v>3025.4099999999889</v>
      </c>
      <c r="Y159" s="2"/>
      <c r="Z159" s="7">
        <f t="shared" si="37"/>
        <v>4.5724050659311739E-2</v>
      </c>
    </row>
    <row r="160" spans="1:26" s="24" customFormat="1" hidden="1" outlineLevel="2" x14ac:dyDescent="0.25">
      <c r="A160" s="29"/>
      <c r="B160" s="11" t="str">
        <f>CONCATENATE("          ", "6119", " - ", "SICK LEAVE")</f>
        <v xml:space="preserve">          6119 - SICK LEAVE</v>
      </c>
      <c r="C160" s="11"/>
      <c r="D160" s="6">
        <v>16802.82</v>
      </c>
      <c r="E160" s="2"/>
      <c r="F160" s="7">
        <f t="shared" si="30"/>
        <v>6.6440326647442373E-3</v>
      </c>
      <c r="G160" s="2"/>
      <c r="H160" s="6">
        <v>14712.85</v>
      </c>
      <c r="I160" s="2"/>
      <c r="J160" s="7">
        <f t="shared" si="31"/>
        <v>2.1630800821928815E-2</v>
      </c>
      <c r="K160" s="2"/>
      <c r="L160" s="6">
        <f t="shared" si="32"/>
        <v>2089.9699999999993</v>
      </c>
      <c r="M160" s="2"/>
      <c r="N160" s="7">
        <f t="shared" si="33"/>
        <v>0.14205065639899811</v>
      </c>
      <c r="O160" s="11"/>
      <c r="P160" s="6">
        <v>48873.14</v>
      </c>
      <c r="Q160" s="2"/>
      <c r="R160" s="7">
        <f t="shared" si="34"/>
        <v>6.2090345972723171E-3</v>
      </c>
      <c r="S160" s="2"/>
      <c r="T160" s="6">
        <v>45215.59</v>
      </c>
      <c r="U160" s="2"/>
      <c r="V160" s="7">
        <f t="shared" si="35"/>
        <v>1.0604336176208973E-2</v>
      </c>
      <c r="W160" s="2"/>
      <c r="X160" s="6">
        <f t="shared" si="36"/>
        <v>3657.5500000000029</v>
      </c>
      <c r="Y160" s="2"/>
      <c r="Z160" s="7">
        <f t="shared" si="37"/>
        <v>8.0891347431273228E-2</v>
      </c>
    </row>
    <row r="161" spans="1:26" s="24" customFormat="1" hidden="1" outlineLevel="2" x14ac:dyDescent="0.25">
      <c r="A161" s="29"/>
      <c r="B161" s="11" t="str">
        <f>CONCATENATE("          ", "6156", " - ", "EMPLOYEE MEALS")</f>
        <v xml:space="preserve">          6156 - EMPLOYEE MEALS</v>
      </c>
      <c r="C161" s="11"/>
      <c r="D161" s="6">
        <v>11832.74</v>
      </c>
      <c r="E161" s="2"/>
      <c r="F161" s="7">
        <f t="shared" si="30"/>
        <v>4.6788045740789779E-3</v>
      </c>
      <c r="G161" s="2"/>
      <c r="H161" s="6">
        <v>5900.97</v>
      </c>
      <c r="I161" s="2"/>
      <c r="J161" s="7">
        <f t="shared" si="31"/>
        <v>8.6755935611507826E-3</v>
      </c>
      <c r="K161" s="2"/>
      <c r="L161" s="6">
        <f t="shared" si="32"/>
        <v>5931.7699999999995</v>
      </c>
      <c r="M161" s="2"/>
      <c r="N161" s="7">
        <f t="shared" si="33"/>
        <v>1.0052194808650101</v>
      </c>
      <c r="O161" s="11"/>
      <c r="P161" s="6">
        <v>29223.87</v>
      </c>
      <c r="Q161" s="2"/>
      <c r="R161" s="7">
        <f t="shared" si="34"/>
        <v>3.7127145891626473E-3</v>
      </c>
      <c r="S161" s="2"/>
      <c r="T161" s="6">
        <v>20375.5</v>
      </c>
      <c r="U161" s="2"/>
      <c r="V161" s="7">
        <f t="shared" si="35"/>
        <v>4.7786317011089749E-3</v>
      </c>
      <c r="W161" s="2"/>
      <c r="X161" s="6">
        <f t="shared" si="36"/>
        <v>8848.369999999999</v>
      </c>
      <c r="Y161" s="2"/>
      <c r="Z161" s="7">
        <f t="shared" si="37"/>
        <v>0.43426517140683657</v>
      </c>
    </row>
    <row r="162" spans="1:26" s="28" customFormat="1" outlineLevel="1" collapsed="1" x14ac:dyDescent="0.25">
      <c r="A162" s="27"/>
      <c r="B162" s="14" t="str">
        <f>CONCATENATE("     ","*Payroll                                          ")</f>
        <v xml:space="preserve">     *Payroll                                          </v>
      </c>
      <c r="C162" s="14"/>
      <c r="D162" s="1">
        <f>SUM(OSRRefD22_1x_0)</f>
        <v>676360.61</v>
      </c>
      <c r="E162" s="1"/>
      <c r="F162" s="5">
        <f t="shared" ref="F162:F169" si="38">IF(D$12=0,0,D162/D$12)</f>
        <v>0.26744094062701007</v>
      </c>
      <c r="G162" s="1"/>
      <c r="H162" s="1">
        <f>SUM(OSRRefH22_1x_0)</f>
        <v>322845.24</v>
      </c>
      <c r="I162" s="1"/>
      <c r="J162" s="5">
        <f t="shared" ref="J162:J169" si="39">IF(H$12=0,0,H162/H$12)</f>
        <v>0.47464638616908389</v>
      </c>
      <c r="K162" s="1"/>
      <c r="L162" s="1">
        <f t="shared" ref="L162:L169" si="40">+D162-H162</f>
        <v>353515.37</v>
      </c>
      <c r="M162" s="1"/>
      <c r="N162" s="5">
        <f t="shared" ref="N162:N169" si="41">IF(H162=0,0,L162/H162)</f>
        <v>1.0949994802463248</v>
      </c>
      <c r="O162" s="14"/>
      <c r="P162" s="1">
        <f>SUM(OSRRefP22_1x_0)</f>
        <v>1923992.6500000004</v>
      </c>
      <c r="Q162" s="1"/>
      <c r="R162" s="5">
        <f t="shared" ref="R162:R169" si="42">IF(P$12=0,0,P162/P$12)</f>
        <v>0.24443154110310183</v>
      </c>
      <c r="S162" s="1"/>
      <c r="T162" s="1">
        <f>SUM(OSRRefT22_1x_0)</f>
        <v>1217153.8600000001</v>
      </c>
      <c r="U162" s="1"/>
      <c r="V162" s="5">
        <f t="shared" ref="V162:V169" si="43">IF(T$12=0,0,T162/T$12)</f>
        <v>0.28545704500616698</v>
      </c>
      <c r="W162" s="1"/>
      <c r="X162" s="1">
        <f t="shared" ref="X162:X169" si="44">+P162-T162</f>
        <v>706838.79000000027</v>
      </c>
      <c r="Y162" s="1"/>
      <c r="Z162" s="5">
        <f t="shared" ref="Z162:Z169" si="45">IF(T162=0,0,X162/T162)</f>
        <v>0.5807308453181097</v>
      </c>
    </row>
    <row r="163" spans="1:26" s="24" customFormat="1" hidden="1" outlineLevel="2" x14ac:dyDescent="0.25">
      <c r="A163" s="29"/>
      <c r="B163" s="11" t="str">
        <f>CONCATENATE("          ", "6001", " - ", "ADMINISTRATIVE SALARIES")</f>
        <v xml:space="preserve">          6001 - ADMINISTRATIVE SALARIES</v>
      </c>
      <c r="C163" s="11"/>
      <c r="D163" s="6">
        <v>31569.02</v>
      </c>
      <c r="E163" s="2"/>
      <c r="F163" s="7">
        <f t="shared" si="38"/>
        <v>1.2482761826524602E-2</v>
      </c>
      <c r="G163" s="2"/>
      <c r="H163" s="6">
        <v>30125.759999999998</v>
      </c>
      <c r="I163" s="2"/>
      <c r="J163" s="7">
        <f t="shared" si="39"/>
        <v>4.4290828369026411E-2</v>
      </c>
      <c r="K163" s="2"/>
      <c r="L163" s="6">
        <f t="shared" si="40"/>
        <v>1443.260000000002</v>
      </c>
      <c r="M163" s="2"/>
      <c r="N163" s="7">
        <f t="shared" si="41"/>
        <v>4.7907837013904449E-2</v>
      </c>
      <c r="O163" s="11"/>
      <c r="P163" s="6">
        <v>121665.78</v>
      </c>
      <c r="Q163" s="2"/>
      <c r="R163" s="7">
        <f t="shared" si="42"/>
        <v>1.5456895900777447E-2</v>
      </c>
      <c r="S163" s="2"/>
      <c r="T163" s="6">
        <v>115612.94</v>
      </c>
      <c r="U163" s="2"/>
      <c r="V163" s="7">
        <f t="shared" si="43"/>
        <v>2.7114508117219691E-2</v>
      </c>
      <c r="W163" s="2"/>
      <c r="X163" s="6">
        <f t="shared" si="44"/>
        <v>6052.8399999999965</v>
      </c>
      <c r="Y163" s="2"/>
      <c r="Z163" s="7">
        <f t="shared" si="45"/>
        <v>5.2354347186396234E-2</v>
      </c>
    </row>
    <row r="164" spans="1:26" s="24" customFormat="1" hidden="1" outlineLevel="2" x14ac:dyDescent="0.25">
      <c r="A164" s="29"/>
      <c r="B164" s="11" t="str">
        <f>CONCATENATE("          ", "6002", " - ", "STAFF SALARIES")</f>
        <v xml:space="preserve">          6002 - STAFF SALARIES</v>
      </c>
      <c r="C164" s="11"/>
      <c r="D164" s="6">
        <v>137915.4</v>
      </c>
      <c r="E164" s="2"/>
      <c r="F164" s="7">
        <f t="shared" si="38"/>
        <v>5.4533371337148605E-2</v>
      </c>
      <c r="G164" s="2"/>
      <c r="H164" s="6">
        <v>113887.76</v>
      </c>
      <c r="I164" s="2"/>
      <c r="J164" s="7">
        <f t="shared" si="39"/>
        <v>0.16743754287005111</v>
      </c>
      <c r="K164" s="2"/>
      <c r="L164" s="6">
        <f t="shared" si="40"/>
        <v>24027.64</v>
      </c>
      <c r="M164" s="2"/>
      <c r="N164" s="7">
        <f t="shared" si="41"/>
        <v>0.21097649124014733</v>
      </c>
      <c r="O164" s="11"/>
      <c r="P164" s="6">
        <v>512091.02</v>
      </c>
      <c r="Q164" s="2"/>
      <c r="R164" s="7">
        <f t="shared" si="42"/>
        <v>6.5058043336942747E-2</v>
      </c>
      <c r="S164" s="2"/>
      <c r="T164" s="6">
        <v>470899.36</v>
      </c>
      <c r="U164" s="2"/>
      <c r="V164" s="7">
        <f t="shared" si="43"/>
        <v>0.11043923387047815</v>
      </c>
      <c r="W164" s="2"/>
      <c r="X164" s="6">
        <f t="shared" si="44"/>
        <v>41191.660000000033</v>
      </c>
      <c r="Y164" s="2"/>
      <c r="Z164" s="7">
        <f t="shared" si="45"/>
        <v>8.7474444645667032E-2</v>
      </c>
    </row>
    <row r="165" spans="1:26" s="24" customFormat="1" hidden="1" outlineLevel="2" x14ac:dyDescent="0.25">
      <c r="A165" s="29"/>
      <c r="B165" s="11" t="str">
        <f>CONCATENATE("          ", "6004", " - ", "STAFF HOURLY")</f>
        <v xml:space="preserve">          6004 - STAFF HOURLY</v>
      </c>
      <c r="C165" s="11"/>
      <c r="D165" s="6">
        <v>181661.99</v>
      </c>
      <c r="E165" s="2"/>
      <c r="F165" s="7">
        <f t="shared" si="38"/>
        <v>7.1831287575683189E-2</v>
      </c>
      <c r="G165" s="2"/>
      <c r="H165" s="6">
        <v>94314.06</v>
      </c>
      <c r="I165" s="2"/>
      <c r="J165" s="7">
        <f t="shared" si="39"/>
        <v>0.13866033070189959</v>
      </c>
      <c r="K165" s="2"/>
      <c r="L165" s="6">
        <f t="shared" si="40"/>
        <v>87347.93</v>
      </c>
      <c r="M165" s="2"/>
      <c r="N165" s="7">
        <f t="shared" si="41"/>
        <v>0.9261390083302532</v>
      </c>
      <c r="O165" s="11"/>
      <c r="P165" s="6">
        <v>455544.8</v>
      </c>
      <c r="Q165" s="2"/>
      <c r="R165" s="7">
        <f t="shared" si="42"/>
        <v>5.7874190686489517E-2</v>
      </c>
      <c r="S165" s="2"/>
      <c r="T165" s="6">
        <v>284692.43</v>
      </c>
      <c r="U165" s="2"/>
      <c r="V165" s="7">
        <f t="shared" si="43"/>
        <v>6.6768436164204442E-2</v>
      </c>
      <c r="W165" s="2"/>
      <c r="X165" s="6">
        <f t="shared" si="44"/>
        <v>170852.37</v>
      </c>
      <c r="Y165" s="2"/>
      <c r="Z165" s="7">
        <f t="shared" si="45"/>
        <v>0.60012965571300925</v>
      </c>
    </row>
    <row r="166" spans="1:26" s="24" customFormat="1" hidden="1" outlineLevel="2" x14ac:dyDescent="0.25">
      <c r="A166" s="29"/>
      <c r="B166" s="11" t="str">
        <f>CONCATENATE("          ", "6005", " - ", "TEMPORARY WAGES-HOURLY")</f>
        <v xml:space="preserve">          6005 - TEMPORARY WAGES-HOURLY</v>
      </c>
      <c r="C166" s="11"/>
      <c r="D166" s="6">
        <v>169742.39</v>
      </c>
      <c r="E166" s="2"/>
      <c r="F166" s="7">
        <f t="shared" si="38"/>
        <v>6.7118137535946684E-2</v>
      </c>
      <c r="G166" s="2"/>
      <c r="H166" s="6">
        <v>52240.99</v>
      </c>
      <c r="I166" s="2"/>
      <c r="J166" s="7">
        <f t="shared" si="39"/>
        <v>7.6804592545317532E-2</v>
      </c>
      <c r="K166" s="2"/>
      <c r="L166" s="6">
        <f t="shared" si="40"/>
        <v>117501.40000000002</v>
      </c>
      <c r="M166" s="2"/>
      <c r="N166" s="7">
        <f t="shared" si="41"/>
        <v>2.2492184776743325</v>
      </c>
      <c r="O166" s="11"/>
      <c r="P166" s="6">
        <v>300759.02</v>
      </c>
      <c r="Q166" s="2"/>
      <c r="R166" s="7">
        <f t="shared" si="42"/>
        <v>3.820960062360873E-2</v>
      </c>
      <c r="S166" s="2"/>
      <c r="T166" s="6">
        <v>151704.62</v>
      </c>
      <c r="U166" s="2"/>
      <c r="V166" s="7">
        <f t="shared" si="43"/>
        <v>3.5579029046486736E-2</v>
      </c>
      <c r="W166" s="2"/>
      <c r="X166" s="6">
        <f t="shared" si="44"/>
        <v>149054.40000000002</v>
      </c>
      <c r="Y166" s="2"/>
      <c r="Z166" s="7">
        <f t="shared" si="45"/>
        <v>0.98253039360304273</v>
      </c>
    </row>
    <row r="167" spans="1:26" s="24" customFormat="1" hidden="1" outlineLevel="2" x14ac:dyDescent="0.25">
      <c r="A167" s="29"/>
      <c r="B167" s="11" t="str">
        <f>CONCATENATE("          ", "6006", " - ", "TEMPORARY PART TIME")</f>
        <v xml:space="preserve">          6006 - TEMPORARY PART TIME</v>
      </c>
      <c r="C167" s="11"/>
      <c r="D167" s="6">
        <v>781.97</v>
      </c>
      <c r="E167" s="2"/>
      <c r="F167" s="7">
        <f t="shared" si="38"/>
        <v>3.0920013562307108E-4</v>
      </c>
      <c r="G167" s="2"/>
      <c r="H167" s="6">
        <v>1802.76</v>
      </c>
      <c r="I167" s="2"/>
      <c r="J167" s="7">
        <f t="shared" si="39"/>
        <v>2.6504139231855414E-3</v>
      </c>
      <c r="K167" s="2"/>
      <c r="L167" s="6">
        <f t="shared" si="40"/>
        <v>-1020.79</v>
      </c>
      <c r="M167" s="2"/>
      <c r="N167" s="7">
        <f t="shared" si="41"/>
        <v>-0.56623732499057</v>
      </c>
      <c r="O167" s="11"/>
      <c r="P167" s="6">
        <v>9877.6200000000008</v>
      </c>
      <c r="Q167" s="2"/>
      <c r="R167" s="7">
        <f t="shared" si="42"/>
        <v>1.2548914254068592E-3</v>
      </c>
      <c r="S167" s="2"/>
      <c r="T167" s="6">
        <v>7507.17</v>
      </c>
      <c r="U167" s="2"/>
      <c r="V167" s="7">
        <f t="shared" si="43"/>
        <v>1.7606439374549955E-3</v>
      </c>
      <c r="W167" s="2"/>
      <c r="X167" s="6">
        <f t="shared" si="44"/>
        <v>2370.4500000000007</v>
      </c>
      <c r="Y167" s="2"/>
      <c r="Z167" s="7">
        <f t="shared" si="45"/>
        <v>0.31575813522272717</v>
      </c>
    </row>
    <row r="168" spans="1:26" s="24" customFormat="1" hidden="1" outlineLevel="2" x14ac:dyDescent="0.25">
      <c r="A168" s="29"/>
      <c r="B168" s="11" t="str">
        <f>CONCATENATE("          ", "6007", " - ", "STUDENT HOURLY")</f>
        <v xml:space="preserve">          6007 - STUDENT HOURLY</v>
      </c>
      <c r="C168" s="11"/>
      <c r="D168" s="6">
        <v>129220.92</v>
      </c>
      <c r="E168" s="2"/>
      <c r="F168" s="7">
        <f t="shared" si="38"/>
        <v>5.1095471679652699E-2</v>
      </c>
      <c r="G168" s="2"/>
      <c r="H168" s="6">
        <v>23964.41</v>
      </c>
      <c r="I168" s="2"/>
      <c r="J168" s="7">
        <f t="shared" si="39"/>
        <v>3.5232424684886958E-2</v>
      </c>
      <c r="K168" s="2"/>
      <c r="L168" s="6">
        <f t="shared" si="40"/>
        <v>105256.51</v>
      </c>
      <c r="M168" s="2"/>
      <c r="N168" s="7">
        <f t="shared" si="41"/>
        <v>4.3922011850072664</v>
      </c>
      <c r="O168" s="11"/>
      <c r="P168" s="6">
        <v>457973.87</v>
      </c>
      <c r="Q168" s="2"/>
      <c r="R168" s="7">
        <f t="shared" si="42"/>
        <v>5.8182789226898346E-2</v>
      </c>
      <c r="S168" s="2"/>
      <c r="T168" s="6">
        <v>174193.12</v>
      </c>
      <c r="U168" s="2"/>
      <c r="V168" s="7">
        <f t="shared" si="43"/>
        <v>4.0853219079143077E-2</v>
      </c>
      <c r="W168" s="2"/>
      <c r="X168" s="6">
        <f t="shared" si="44"/>
        <v>283780.75</v>
      </c>
      <c r="Y168" s="2"/>
      <c r="Z168" s="7">
        <f t="shared" si="45"/>
        <v>1.6291157193808803</v>
      </c>
    </row>
    <row r="169" spans="1:26" s="24" customFormat="1" hidden="1" outlineLevel="2" x14ac:dyDescent="0.25">
      <c r="A169" s="29"/>
      <c r="B169" s="11" t="str">
        <f>CONCATENATE("          ", "6008", " - ", "STUDENT HOURLY-FICA EXEMPT")</f>
        <v xml:space="preserve">          6008 - STUDENT HOURLY-FICA EXEMPT</v>
      </c>
      <c r="C169" s="11"/>
      <c r="D169" s="6">
        <v>25468.92</v>
      </c>
      <c r="E169" s="2"/>
      <c r="F169" s="7">
        <f t="shared" si="38"/>
        <v>1.0070710536431254E-2</v>
      </c>
      <c r="G169" s="2"/>
      <c r="H169" s="6">
        <v>6509.5</v>
      </c>
      <c r="I169" s="2"/>
      <c r="J169" s="7">
        <f t="shared" si="39"/>
        <v>9.5702530747167024E-3</v>
      </c>
      <c r="K169" s="2"/>
      <c r="L169" s="6">
        <f t="shared" si="40"/>
        <v>18959.419999999998</v>
      </c>
      <c r="M169" s="2"/>
      <c r="N169" s="7">
        <f t="shared" si="41"/>
        <v>2.9125770028419997</v>
      </c>
      <c r="O169" s="11"/>
      <c r="P169" s="6">
        <v>66080.539999999994</v>
      </c>
      <c r="Q169" s="2"/>
      <c r="R169" s="7">
        <f t="shared" si="42"/>
        <v>8.3951299029781431E-3</v>
      </c>
      <c r="S169" s="2"/>
      <c r="T169" s="6">
        <v>12544.22</v>
      </c>
      <c r="U169" s="2"/>
      <c r="V169" s="7">
        <f t="shared" si="43"/>
        <v>2.941974791179859E-3</v>
      </c>
      <c r="W169" s="2"/>
      <c r="X169" s="6">
        <f t="shared" si="44"/>
        <v>53536.319999999992</v>
      </c>
      <c r="Y169" s="2"/>
      <c r="Z169" s="7">
        <f t="shared" si="45"/>
        <v>4.2678078031156979</v>
      </c>
    </row>
    <row r="170" spans="1:26" s="28" customFormat="1" outlineLevel="1" collapsed="1" x14ac:dyDescent="0.25">
      <c r="A170" s="27"/>
      <c r="B170" s="14" t="str">
        <f>CONCATENATE("     ","Advertising/Promo                                 ")</f>
        <v xml:space="preserve">     Advertising/Promo                                 </v>
      </c>
      <c r="C170" s="14"/>
      <c r="D170" s="1">
        <f>SUM(OSRRefD22_2x_0)</f>
        <v>1129.6600000000001</v>
      </c>
      <c r="E170" s="1"/>
      <c r="F170" s="5">
        <f t="shared" ref="F170:F178" si="46">IF(D$12=0,0,D170/D$12)</f>
        <v>4.4668085119372675E-4</v>
      </c>
      <c r="G170" s="1"/>
      <c r="H170" s="1">
        <f>SUM(OSRRefH22_2x_0)</f>
        <v>1331.21</v>
      </c>
      <c r="I170" s="1"/>
      <c r="J170" s="5">
        <f t="shared" ref="J170:J178" si="47">IF(H$12=0,0,H170/H$12)</f>
        <v>1.957142114692929E-3</v>
      </c>
      <c r="K170" s="1"/>
      <c r="L170" s="1">
        <f t="shared" ref="L170:L178" si="48">+D170-H170</f>
        <v>-201.54999999999995</v>
      </c>
      <c r="M170" s="1"/>
      <c r="N170" s="5">
        <f t="shared" ref="N170:N178" si="49">IF(H170=0,0,L170/H170)</f>
        <v>-0.151403610249322</v>
      </c>
      <c r="O170" s="14"/>
      <c r="P170" s="1">
        <f>SUM(OSRRefP22_2x_0)</f>
        <v>7055.11</v>
      </c>
      <c r="Q170" s="1"/>
      <c r="R170" s="5">
        <f t="shared" ref="R170:R178" si="50">IF(P$12=0,0,P170/P$12)</f>
        <v>8.9630873067623432E-4</v>
      </c>
      <c r="S170" s="1"/>
      <c r="T170" s="1">
        <f>SUM(OSRRefT22_2x_0)</f>
        <v>15498.26</v>
      </c>
      <c r="U170" s="1"/>
      <c r="V170" s="5">
        <f t="shared" ref="V170:V178" si="51">IF(T$12=0,0,T170/T$12)</f>
        <v>3.6347808175519213E-3</v>
      </c>
      <c r="W170" s="1"/>
      <c r="X170" s="1">
        <f t="shared" ref="X170:X178" si="52">+P170-T170</f>
        <v>-8443.1500000000015</v>
      </c>
      <c r="Y170" s="1"/>
      <c r="Z170" s="5">
        <f t="shared" ref="Z170:Z178" si="53">IF(T170=0,0,X170/T170)</f>
        <v>-0.54478051084444323</v>
      </c>
    </row>
    <row r="171" spans="1:26" s="24" customFormat="1" hidden="1" outlineLevel="2" x14ac:dyDescent="0.25">
      <c r="A171" s="29"/>
      <c r="B171" s="11" t="str">
        <f>CONCATENATE("          ", "6362", " - ", "ADVERTISING EXPENSE")</f>
        <v xml:space="preserve">          6362 - ADVERTISING EXPENSE</v>
      </c>
      <c r="C171" s="11"/>
      <c r="D171" s="6">
        <v>1129.6600000000001</v>
      </c>
      <c r="E171" s="2"/>
      <c r="F171" s="7">
        <f t="shared" si="46"/>
        <v>4.4668085119372675E-4</v>
      </c>
      <c r="G171" s="2"/>
      <c r="H171" s="6">
        <v>1331.21</v>
      </c>
      <c r="I171" s="2"/>
      <c r="J171" s="7">
        <f t="shared" si="47"/>
        <v>1.957142114692929E-3</v>
      </c>
      <c r="K171" s="2"/>
      <c r="L171" s="6">
        <f t="shared" si="48"/>
        <v>-201.54999999999995</v>
      </c>
      <c r="M171" s="2"/>
      <c r="N171" s="7">
        <f t="shared" si="49"/>
        <v>-0.151403610249322</v>
      </c>
      <c r="O171" s="11"/>
      <c r="P171" s="6">
        <v>7055.11</v>
      </c>
      <c r="Q171" s="2"/>
      <c r="R171" s="7">
        <f t="shared" si="50"/>
        <v>8.9630873067623432E-4</v>
      </c>
      <c r="S171" s="2"/>
      <c r="T171" s="6">
        <v>15498.26</v>
      </c>
      <c r="U171" s="2"/>
      <c r="V171" s="7">
        <f t="shared" si="51"/>
        <v>3.6347808175519213E-3</v>
      </c>
      <c r="W171" s="2"/>
      <c r="X171" s="6">
        <f t="shared" si="52"/>
        <v>-8443.1500000000015</v>
      </c>
      <c r="Y171" s="2"/>
      <c r="Z171" s="7">
        <f t="shared" si="53"/>
        <v>-0.54478051084444323</v>
      </c>
    </row>
    <row r="172" spans="1:26" s="28" customFormat="1" outlineLevel="1" collapsed="1" x14ac:dyDescent="0.25">
      <c r="A172" s="27"/>
      <c r="B172" s="14" t="str">
        <f>CONCATENATE("     ","Bad Debts/Over/Short                              ")</f>
        <v xml:space="preserve">     Bad Debts/Over/Short                              </v>
      </c>
      <c r="C172" s="14"/>
      <c r="D172" s="1">
        <f>SUM(OSRRefD22_3x_0)</f>
        <v>-49.54</v>
      </c>
      <c r="E172" s="1"/>
      <c r="F172" s="5">
        <f t="shared" si="46"/>
        <v>-1.9588698695304093E-5</v>
      </c>
      <c r="G172" s="1"/>
      <c r="H172" s="1">
        <f>SUM(OSRRefH22_3x_0)</f>
        <v>1510.35</v>
      </c>
      <c r="I172" s="1"/>
      <c r="J172" s="5">
        <f t="shared" si="47"/>
        <v>2.2205133622241907E-3</v>
      </c>
      <c r="K172" s="1"/>
      <c r="L172" s="1">
        <f t="shared" si="48"/>
        <v>-1559.8899999999999</v>
      </c>
      <c r="M172" s="1"/>
      <c r="N172" s="5">
        <f t="shared" si="49"/>
        <v>-1.0328003442910583</v>
      </c>
      <c r="O172" s="14"/>
      <c r="P172" s="1">
        <f>SUM(OSRRefP22_3x_0)</f>
        <v>98.67</v>
      </c>
      <c r="Q172" s="1"/>
      <c r="R172" s="5">
        <f t="shared" si="50"/>
        <v>1.2535422191266196E-5</v>
      </c>
      <c r="S172" s="1"/>
      <c r="T172" s="1">
        <f>SUM(OSRRefT22_3x_0)</f>
        <v>1461.89</v>
      </c>
      <c r="U172" s="1"/>
      <c r="V172" s="5">
        <f t="shared" si="51"/>
        <v>3.4285459976610139E-4</v>
      </c>
      <c r="W172" s="1"/>
      <c r="X172" s="1">
        <f t="shared" si="52"/>
        <v>-1363.22</v>
      </c>
      <c r="Y172" s="1"/>
      <c r="Z172" s="5">
        <f t="shared" si="53"/>
        <v>-0.93250518164841401</v>
      </c>
    </row>
    <row r="173" spans="1:26" s="24" customFormat="1" hidden="1" outlineLevel="2" x14ac:dyDescent="0.25">
      <c r="A173" s="29"/>
      <c r="B173" s="11" t="str">
        <f>CONCATENATE("          ", "6272", " - ", "CASH (OVER/SHORT)")</f>
        <v xml:space="preserve">          6272 - CASH (OVER/SHORT)</v>
      </c>
      <c r="C173" s="11"/>
      <c r="D173" s="6">
        <v>-49.54</v>
      </c>
      <c r="E173" s="2"/>
      <c r="F173" s="7">
        <f t="shared" si="46"/>
        <v>-1.9588698695304093E-5</v>
      </c>
      <c r="G173" s="2"/>
      <c r="H173" s="6">
        <v>1510.35</v>
      </c>
      <c r="I173" s="2"/>
      <c r="J173" s="7">
        <f t="shared" si="47"/>
        <v>2.2205133622241907E-3</v>
      </c>
      <c r="K173" s="2"/>
      <c r="L173" s="6">
        <f t="shared" si="48"/>
        <v>-1559.8899999999999</v>
      </c>
      <c r="M173" s="2"/>
      <c r="N173" s="7">
        <f t="shared" si="49"/>
        <v>-1.0328003442910583</v>
      </c>
      <c r="O173" s="11"/>
      <c r="P173" s="6">
        <v>98.67</v>
      </c>
      <c r="Q173" s="2"/>
      <c r="R173" s="7">
        <f t="shared" si="50"/>
        <v>1.2535422191266196E-5</v>
      </c>
      <c r="S173" s="2"/>
      <c r="T173" s="6">
        <v>1461.89</v>
      </c>
      <c r="U173" s="2"/>
      <c r="V173" s="7">
        <f t="shared" si="51"/>
        <v>3.4285459976610139E-4</v>
      </c>
      <c r="W173" s="2"/>
      <c r="X173" s="6">
        <f t="shared" si="52"/>
        <v>-1363.22</v>
      </c>
      <c r="Y173" s="2"/>
      <c r="Z173" s="7">
        <f t="shared" si="53"/>
        <v>-0.93250518164841401</v>
      </c>
    </row>
    <row r="174" spans="1:26" s="28" customFormat="1" outlineLevel="1" collapsed="1" x14ac:dyDescent="0.25">
      <c r="A174" s="27"/>
      <c r="B174" s="14" t="str">
        <f>CONCATENATE("     ","Bank/card Fees                                    ")</f>
        <v xml:space="preserve">     Bank/card Fees                                    </v>
      </c>
      <c r="C174" s="14"/>
      <c r="D174" s="1">
        <f>SUM(OSRRefD22_4x_0)</f>
        <v>20622.490000000002</v>
      </c>
      <c r="E174" s="1"/>
      <c r="F174" s="5">
        <f t="shared" si="46"/>
        <v>8.1543751101518323E-3</v>
      </c>
      <c r="G174" s="1"/>
      <c r="H174" s="1">
        <f>SUM(OSRRefH22_4x_0)</f>
        <v>5909.57</v>
      </c>
      <c r="I174" s="1"/>
      <c r="J174" s="5">
        <f t="shared" si="47"/>
        <v>8.6882372628855637E-3</v>
      </c>
      <c r="K174" s="1"/>
      <c r="L174" s="1">
        <f t="shared" si="48"/>
        <v>14712.920000000002</v>
      </c>
      <c r="M174" s="1"/>
      <c r="N174" s="5">
        <f t="shared" si="49"/>
        <v>2.489676913887136</v>
      </c>
      <c r="O174" s="14"/>
      <c r="P174" s="1">
        <f>SUM(OSRRefP22_4x_0)</f>
        <v>69128.22</v>
      </c>
      <c r="Q174" s="1"/>
      <c r="R174" s="5">
        <f t="shared" si="50"/>
        <v>8.7823190739914018E-3</v>
      </c>
      <c r="S174" s="1"/>
      <c r="T174" s="1">
        <f>SUM(OSRRefT22_4x_0)</f>
        <v>41961.27</v>
      </c>
      <c r="U174" s="1"/>
      <c r="V174" s="5">
        <f t="shared" si="51"/>
        <v>9.8411059871312597E-3</v>
      </c>
      <c r="W174" s="1"/>
      <c r="X174" s="1">
        <f t="shared" si="52"/>
        <v>27166.950000000004</v>
      </c>
      <c r="Y174" s="1"/>
      <c r="Z174" s="5">
        <f t="shared" si="53"/>
        <v>0.64742916503718806</v>
      </c>
    </row>
    <row r="175" spans="1:26" s="24" customFormat="1" hidden="1" outlineLevel="2" x14ac:dyDescent="0.25">
      <c r="A175" s="29"/>
      <c r="B175" s="11" t="str">
        <f>CONCATENATE("          ", "6381", " - ", "BANK/CREDIT CARD FEES")</f>
        <v xml:space="preserve">          6381 - BANK/CREDIT CARD FEES</v>
      </c>
      <c r="C175" s="11"/>
      <c r="D175" s="6">
        <v>20622.490000000002</v>
      </c>
      <c r="E175" s="2"/>
      <c r="F175" s="7">
        <f t="shared" si="46"/>
        <v>8.1543751101518323E-3</v>
      </c>
      <c r="G175" s="2"/>
      <c r="H175" s="6">
        <v>5909.57</v>
      </c>
      <c r="I175" s="2"/>
      <c r="J175" s="7">
        <f t="shared" si="47"/>
        <v>8.6882372628855637E-3</v>
      </c>
      <c r="K175" s="2"/>
      <c r="L175" s="6">
        <f t="shared" si="48"/>
        <v>14712.920000000002</v>
      </c>
      <c r="M175" s="2"/>
      <c r="N175" s="7">
        <f t="shared" si="49"/>
        <v>2.489676913887136</v>
      </c>
      <c r="O175" s="11"/>
      <c r="P175" s="6">
        <v>69128.22</v>
      </c>
      <c r="Q175" s="2"/>
      <c r="R175" s="7">
        <f t="shared" si="50"/>
        <v>8.7823190739914018E-3</v>
      </c>
      <c r="S175" s="2"/>
      <c r="T175" s="6">
        <v>41961.27</v>
      </c>
      <c r="U175" s="2"/>
      <c r="V175" s="7">
        <f t="shared" si="51"/>
        <v>9.8411059871312597E-3</v>
      </c>
      <c r="W175" s="2"/>
      <c r="X175" s="6">
        <f t="shared" si="52"/>
        <v>27166.950000000004</v>
      </c>
      <c r="Y175" s="2"/>
      <c r="Z175" s="7">
        <f t="shared" si="53"/>
        <v>0.64742916503718806</v>
      </c>
    </row>
    <row r="176" spans="1:26" s="28" customFormat="1" outlineLevel="1" collapsed="1" x14ac:dyDescent="0.25">
      <c r="A176" s="27"/>
      <c r="B176" s="14" t="str">
        <f>CONCATENATE("     ","Depreciation                                      ")</f>
        <v xml:space="preserve">     Depreciation                                      </v>
      </c>
      <c r="C176" s="14"/>
      <c r="D176" s="1">
        <f>SUM(OSRRefD22_5x_0)</f>
        <v>70762.13</v>
      </c>
      <c r="E176" s="1"/>
      <c r="F176" s="5">
        <f t="shared" si="46"/>
        <v>2.7980178514492103E-2</v>
      </c>
      <c r="G176" s="1"/>
      <c r="H176" s="1">
        <f>SUM(OSRRefH22_5x_0)</f>
        <v>77816.38</v>
      </c>
      <c r="I176" s="1"/>
      <c r="J176" s="5">
        <f t="shared" si="47"/>
        <v>0.1144054766047044</v>
      </c>
      <c r="K176" s="1"/>
      <c r="L176" s="1">
        <f t="shared" si="48"/>
        <v>-7054.25</v>
      </c>
      <c r="M176" s="1"/>
      <c r="N176" s="5">
        <f t="shared" si="49"/>
        <v>-9.0652507865310608E-2</v>
      </c>
      <c r="O176" s="14"/>
      <c r="P176" s="1">
        <f>SUM(OSRRefP22_5x_0)</f>
        <v>285886.48</v>
      </c>
      <c r="Q176" s="1"/>
      <c r="R176" s="5">
        <f t="shared" si="50"/>
        <v>3.6320135051940601E-2</v>
      </c>
      <c r="S176" s="1"/>
      <c r="T176" s="1">
        <f>SUM(OSRRefT22_5x_0)</f>
        <v>313362.41000000003</v>
      </c>
      <c r="U176" s="1"/>
      <c r="V176" s="5">
        <f t="shared" si="51"/>
        <v>7.3492358291178533E-2</v>
      </c>
      <c r="W176" s="1"/>
      <c r="X176" s="1">
        <f t="shared" si="52"/>
        <v>-27475.930000000051</v>
      </c>
      <c r="Y176" s="1"/>
      <c r="Z176" s="5">
        <f t="shared" si="53"/>
        <v>-8.7681001687471213E-2</v>
      </c>
    </row>
    <row r="177" spans="1:26" s="24" customFormat="1" hidden="1" outlineLevel="2" x14ac:dyDescent="0.25">
      <c r="A177" s="29"/>
      <c r="B177" s="11" t="str">
        <f>CONCATENATE("          ", "6321", " - ", "BUILDING DEPRECIATION")</f>
        <v xml:space="preserve">          6321 - BUILDING DEPRECIATION</v>
      </c>
      <c r="C177" s="11"/>
      <c r="D177" s="6">
        <v>45016.43</v>
      </c>
      <c r="E177" s="2"/>
      <c r="F177" s="7">
        <f t="shared" si="46"/>
        <v>1.7800025910541948E-2</v>
      </c>
      <c r="G177" s="2"/>
      <c r="H177" s="6">
        <v>45060.52</v>
      </c>
      <c r="I177" s="2"/>
      <c r="J177" s="7">
        <f t="shared" si="47"/>
        <v>6.6247880801648881E-2</v>
      </c>
      <c r="K177" s="2"/>
      <c r="L177" s="6">
        <f t="shared" si="48"/>
        <v>-44.089999999996508</v>
      </c>
      <c r="M177" s="2"/>
      <c r="N177" s="7">
        <f t="shared" si="49"/>
        <v>-9.7846185530030532E-4</v>
      </c>
      <c r="O177" s="11"/>
      <c r="P177" s="6">
        <v>180153.86</v>
      </c>
      <c r="Q177" s="2"/>
      <c r="R177" s="7">
        <f t="shared" si="50"/>
        <v>2.2887450030265159E-2</v>
      </c>
      <c r="S177" s="2"/>
      <c r="T177" s="6">
        <v>181026.27</v>
      </c>
      <c r="U177" s="2"/>
      <c r="V177" s="7">
        <f t="shared" si="51"/>
        <v>4.245578624109899E-2</v>
      </c>
      <c r="W177" s="2"/>
      <c r="X177" s="6">
        <f t="shared" si="52"/>
        <v>-872.41000000000349</v>
      </c>
      <c r="Y177" s="2"/>
      <c r="Z177" s="7">
        <f t="shared" si="53"/>
        <v>-4.8192452951718199E-3</v>
      </c>
    </row>
    <row r="178" spans="1:26" s="24" customFormat="1" hidden="1" outlineLevel="2" x14ac:dyDescent="0.25">
      <c r="A178" s="29"/>
      <c r="B178" s="11" t="str">
        <f>CONCATENATE("          ", "6322", " - ", "EQUIPMENT DEPRECIATION EXPENSE")</f>
        <v xml:space="preserve">          6322 - EQUIPMENT DEPRECIATION EXPENSE</v>
      </c>
      <c r="C178" s="11"/>
      <c r="D178" s="6">
        <v>25745.7</v>
      </c>
      <c r="E178" s="2"/>
      <c r="F178" s="7">
        <f t="shared" si="46"/>
        <v>1.0180152603950153E-2</v>
      </c>
      <c r="G178" s="2"/>
      <c r="H178" s="6">
        <v>32755.86</v>
      </c>
      <c r="I178" s="2"/>
      <c r="J178" s="7">
        <f t="shared" si="47"/>
        <v>4.8157595803055508E-2</v>
      </c>
      <c r="K178" s="2"/>
      <c r="L178" s="6">
        <f t="shared" si="48"/>
        <v>-7010.16</v>
      </c>
      <c r="M178" s="2"/>
      <c r="N178" s="7">
        <f t="shared" si="49"/>
        <v>-0.21401239350760443</v>
      </c>
      <c r="O178" s="11"/>
      <c r="P178" s="6">
        <v>105732.62</v>
      </c>
      <c r="Q178" s="2"/>
      <c r="R178" s="7">
        <f t="shared" si="50"/>
        <v>1.3432685021675442E-2</v>
      </c>
      <c r="S178" s="2"/>
      <c r="T178" s="6">
        <v>132336.14000000001</v>
      </c>
      <c r="U178" s="2"/>
      <c r="V178" s="7">
        <f t="shared" si="51"/>
        <v>3.1036572050079529E-2</v>
      </c>
      <c r="W178" s="2"/>
      <c r="X178" s="6">
        <f t="shared" si="52"/>
        <v>-26603.520000000019</v>
      </c>
      <c r="Y178" s="2"/>
      <c r="Z178" s="7">
        <f t="shared" si="53"/>
        <v>-0.20102989251462236</v>
      </c>
    </row>
    <row r="179" spans="1:26" s="28" customFormat="1" outlineLevel="1" collapsed="1" x14ac:dyDescent="0.25">
      <c r="A179" s="27"/>
      <c r="B179" s="14" t="str">
        <f>CONCATENATE("     ","Discounts and Markdowns                           ")</f>
        <v xml:space="preserve">     Discounts and Markdowns                           </v>
      </c>
      <c r="C179" s="14"/>
      <c r="D179" s="1">
        <f>SUM(OSRRefD22_6x_0)</f>
        <v>-43.75</v>
      </c>
      <c r="E179" s="1"/>
      <c r="F179" s="5">
        <f t="shared" ref="F179:F181" si="54">IF(D$12=0,0,D179/D$12)</f>
        <v>-1.72992645926434E-5</v>
      </c>
      <c r="G179" s="1"/>
      <c r="H179" s="1">
        <f>SUM(OSRRefH22_6x_0)</f>
        <v>-1249.8000000000002</v>
      </c>
      <c r="I179" s="1"/>
      <c r="J179" s="5">
        <f t="shared" ref="J179:J181" si="55">IF(H$12=0,0,H179/H$12)</f>
        <v>-1.8374533055965797E-3</v>
      </c>
      <c r="K179" s="1"/>
      <c r="L179" s="1">
        <f t="shared" ref="L179:L181" si="56">+D179-H179</f>
        <v>1206.0500000000002</v>
      </c>
      <c r="M179" s="1"/>
      <c r="N179" s="5">
        <f t="shared" ref="N179:N181" si="57">IF(H179=0,0,L179/H179)</f>
        <v>-0.96499439910385665</v>
      </c>
      <c r="O179" s="14"/>
      <c r="P179" s="1">
        <f>SUM(OSRRefP22_6x_0)</f>
        <v>-66.239999999999995</v>
      </c>
      <c r="Q179" s="1"/>
      <c r="R179" s="5">
        <f t="shared" ref="R179:R181" si="58">IF(P$12=0,0,P179/P$12)</f>
        <v>-8.4153883242066764E-6</v>
      </c>
      <c r="S179" s="1"/>
      <c r="T179" s="1">
        <f>SUM(OSRRefT22_6x_0)</f>
        <v>-418.85</v>
      </c>
      <c r="U179" s="1"/>
      <c r="V179" s="5">
        <f t="shared" ref="V179:V181" si="59">IF(T$12=0,0,T179/T$12)</f>
        <v>-9.8232185124757379E-5</v>
      </c>
      <c r="W179" s="1"/>
      <c r="X179" s="1">
        <f t="shared" ref="X179:X181" si="60">+P179-T179</f>
        <v>352.61</v>
      </c>
      <c r="Y179" s="1"/>
      <c r="Z179" s="5">
        <f t="shared" ref="Z179:Z181" si="61">IF(T179=0,0,X179/T179)</f>
        <v>-0.84185269189447298</v>
      </c>
    </row>
    <row r="180" spans="1:26" s="24" customFormat="1" hidden="1" outlineLevel="2" x14ac:dyDescent="0.25">
      <c r="A180" s="29"/>
      <c r="B180" s="11" t="str">
        <f>CONCATENATE("          ", "6382", " - ", "DISCOUNTS/MARK DOWNS")</f>
        <v xml:space="preserve">          6382 - DISCOUNTS/MARK DOWNS</v>
      </c>
      <c r="C180" s="11"/>
      <c r="D180" s="6"/>
      <c r="E180" s="2"/>
      <c r="F180" s="7">
        <f t="shared" si="54"/>
        <v>0</v>
      </c>
      <c r="G180" s="2"/>
      <c r="H180" s="6">
        <v>-830.95</v>
      </c>
      <c r="I180" s="2"/>
      <c r="J180" s="7">
        <f t="shared" si="55"/>
        <v>-1.2216609251764104E-3</v>
      </c>
      <c r="K180" s="2"/>
      <c r="L180" s="6">
        <f t="shared" si="56"/>
        <v>830.95</v>
      </c>
      <c r="M180" s="2"/>
      <c r="N180" s="7">
        <f t="shared" si="57"/>
        <v>-1</v>
      </c>
      <c r="O180" s="11"/>
      <c r="P180" s="6"/>
      <c r="Q180" s="2"/>
      <c r="R180" s="7">
        <f t="shared" si="58"/>
        <v>0</v>
      </c>
      <c r="S180" s="2"/>
      <c r="T180" s="6">
        <v>0</v>
      </c>
      <c r="U180" s="2"/>
      <c r="V180" s="7">
        <f t="shared" si="59"/>
        <v>0</v>
      </c>
      <c r="W180" s="2"/>
      <c r="X180" s="6">
        <f t="shared" si="60"/>
        <v>0</v>
      </c>
      <c r="Y180" s="2"/>
      <c r="Z180" s="7">
        <f t="shared" si="61"/>
        <v>0</v>
      </c>
    </row>
    <row r="181" spans="1:26" s="24" customFormat="1" hidden="1" outlineLevel="2" x14ac:dyDescent="0.25">
      <c r="A181" s="29"/>
      <c r="B181" s="11" t="str">
        <f>CONCATENATE("          ", "9175", " - ", "EARNED DISCOUNTS")</f>
        <v xml:space="preserve">          9175 - EARNED DISCOUNTS</v>
      </c>
      <c r="C181" s="11"/>
      <c r="D181" s="6">
        <v>-43.75</v>
      </c>
      <c r="E181" s="2"/>
      <c r="F181" s="7">
        <f t="shared" si="54"/>
        <v>-1.72992645926434E-5</v>
      </c>
      <c r="G181" s="2"/>
      <c r="H181" s="6">
        <v>-418.85</v>
      </c>
      <c r="I181" s="2"/>
      <c r="J181" s="7">
        <f t="shared" si="55"/>
        <v>-6.157923804201691E-4</v>
      </c>
      <c r="K181" s="2"/>
      <c r="L181" s="6">
        <f t="shared" si="56"/>
        <v>375.1</v>
      </c>
      <c r="M181" s="2"/>
      <c r="N181" s="7">
        <f t="shared" si="57"/>
        <v>-0.89554733198042258</v>
      </c>
      <c r="O181" s="11"/>
      <c r="P181" s="6">
        <v>-66.239999999999995</v>
      </c>
      <c r="Q181" s="2"/>
      <c r="R181" s="7">
        <f t="shared" si="58"/>
        <v>-8.4153883242066764E-6</v>
      </c>
      <c r="S181" s="2"/>
      <c r="T181" s="6">
        <v>-418.85</v>
      </c>
      <c r="U181" s="2"/>
      <c r="V181" s="7">
        <f t="shared" si="59"/>
        <v>-9.8232185124757379E-5</v>
      </c>
      <c r="W181" s="2"/>
      <c r="X181" s="6">
        <f t="shared" si="60"/>
        <v>352.61</v>
      </c>
      <c r="Y181" s="2"/>
      <c r="Z181" s="7">
        <f t="shared" si="61"/>
        <v>-0.84185269189447298</v>
      </c>
    </row>
    <row r="182" spans="1:26" s="28" customFormat="1" outlineLevel="1" collapsed="1" x14ac:dyDescent="0.25">
      <c r="A182" s="27"/>
      <c r="B182" s="14" t="str">
        <f>CONCATENATE("     ","Donations                                         ")</f>
        <v xml:space="preserve">     Donations                                         </v>
      </c>
      <c r="C182" s="14"/>
      <c r="D182" s="1">
        <f>SUM(OSRRefD22_7x_0)</f>
        <v>11982.04</v>
      </c>
      <c r="E182" s="1"/>
      <c r="F182" s="5">
        <f t="shared" ref="F182:F190" si="62">IF(D$12=0,0,D182/D$12)</f>
        <v>4.7378395501631301E-3</v>
      </c>
      <c r="G182" s="1"/>
      <c r="H182" s="1">
        <f>SUM(OSRRefH22_7x_0)</f>
        <v>11110.09</v>
      </c>
      <c r="I182" s="1"/>
      <c r="J182" s="5">
        <f t="shared" ref="J182:J190" si="63">IF(H$12=0,0,H182/H$12)</f>
        <v>1.6334030721695873E-2</v>
      </c>
      <c r="K182" s="1"/>
      <c r="L182" s="1">
        <f t="shared" ref="L182:L190" si="64">+D182-H182</f>
        <v>871.95000000000073</v>
      </c>
      <c r="M182" s="1"/>
      <c r="N182" s="5">
        <f t="shared" ref="N182:N190" si="65">IF(H182=0,0,L182/H182)</f>
        <v>7.8482712561284446E-2</v>
      </c>
      <c r="O182" s="14"/>
      <c r="P182" s="1">
        <f>SUM(OSRRefP22_7x_0)</f>
        <v>25897.22</v>
      </c>
      <c r="Q182" s="1"/>
      <c r="R182" s="5">
        <f t="shared" ref="R182:R190" si="66">IF(P$12=0,0,P182/P$12)</f>
        <v>3.2900839797314558E-3</v>
      </c>
      <c r="S182" s="1"/>
      <c r="T182" s="1">
        <f>SUM(OSRRefT22_7x_0)</f>
        <v>22220.18</v>
      </c>
      <c r="U182" s="1"/>
      <c r="V182" s="5">
        <f t="shared" ref="V182:V190" si="67">IF(T$12=0,0,T182/T$12)</f>
        <v>5.2112613949276149E-3</v>
      </c>
      <c r="W182" s="1"/>
      <c r="X182" s="1">
        <f t="shared" ref="X182:X190" si="68">+P182-T182</f>
        <v>3677.0400000000009</v>
      </c>
      <c r="Y182" s="1"/>
      <c r="Z182" s="5">
        <f t="shared" ref="Z182:Z190" si="69">IF(T182=0,0,X182/T182)</f>
        <v>0.16548200779651653</v>
      </c>
    </row>
    <row r="183" spans="1:26" s="24" customFormat="1" hidden="1" outlineLevel="2" x14ac:dyDescent="0.25">
      <c r="A183" s="29"/>
      <c r="B183" s="11" t="str">
        <f>CONCATENATE("          ", "6399", " - ", "DONATION-ON CAMPUS")</f>
        <v xml:space="preserve">          6399 - DONATION-ON CAMPUS</v>
      </c>
      <c r="C183" s="11"/>
      <c r="D183" s="6">
        <v>11982.04</v>
      </c>
      <c r="E183" s="2"/>
      <c r="F183" s="7">
        <f t="shared" si="62"/>
        <v>4.7378395501631301E-3</v>
      </c>
      <c r="G183" s="2"/>
      <c r="H183" s="6">
        <v>11110.09</v>
      </c>
      <c r="I183" s="2"/>
      <c r="J183" s="7">
        <f t="shared" si="63"/>
        <v>1.6334030721695873E-2</v>
      </c>
      <c r="K183" s="2"/>
      <c r="L183" s="6">
        <f t="shared" si="64"/>
        <v>871.95000000000073</v>
      </c>
      <c r="M183" s="2"/>
      <c r="N183" s="7">
        <f t="shared" si="65"/>
        <v>7.8482712561284446E-2</v>
      </c>
      <c r="O183" s="11"/>
      <c r="P183" s="6">
        <v>25897.22</v>
      </c>
      <c r="Q183" s="2"/>
      <c r="R183" s="7">
        <f t="shared" si="66"/>
        <v>3.2900839797314558E-3</v>
      </c>
      <c r="S183" s="2"/>
      <c r="T183" s="6">
        <v>22220.18</v>
      </c>
      <c r="U183" s="2"/>
      <c r="V183" s="7">
        <f t="shared" si="67"/>
        <v>5.2112613949276149E-3</v>
      </c>
      <c r="W183" s="2"/>
      <c r="X183" s="6">
        <f t="shared" si="68"/>
        <v>3677.0400000000009</v>
      </c>
      <c r="Y183" s="2"/>
      <c r="Z183" s="7">
        <f t="shared" si="69"/>
        <v>0.16548200779651653</v>
      </c>
    </row>
    <row r="184" spans="1:26" s="28" customFormat="1" outlineLevel="1" collapsed="1" x14ac:dyDescent="0.25">
      <c r="A184" s="27"/>
      <c r="B184" s="14" t="str">
        <f>CONCATENATE("     ","Employees' Appreciation                           ")</f>
        <v xml:space="preserve">     Employees' Appreciation                           </v>
      </c>
      <c r="C184" s="14"/>
      <c r="D184" s="1">
        <f>SUM(OSRRefD22_8x_0)</f>
        <v>123.17</v>
      </c>
      <c r="E184" s="1"/>
      <c r="F184" s="5">
        <f t="shared" si="62"/>
        <v>4.8702866740020287E-5</v>
      </c>
      <c r="G184" s="1"/>
      <c r="H184" s="1">
        <f>SUM(OSRRefH22_8x_0)</f>
        <v>0</v>
      </c>
      <c r="I184" s="1"/>
      <c r="J184" s="5">
        <f t="shared" si="63"/>
        <v>0</v>
      </c>
      <c r="K184" s="1"/>
      <c r="L184" s="1">
        <f t="shared" si="64"/>
        <v>123.17</v>
      </c>
      <c r="M184" s="1"/>
      <c r="N184" s="5">
        <f t="shared" si="65"/>
        <v>0</v>
      </c>
      <c r="O184" s="14"/>
      <c r="P184" s="1">
        <f>SUM(OSRRefP22_8x_0)</f>
        <v>1540.29</v>
      </c>
      <c r="Q184" s="1"/>
      <c r="R184" s="5">
        <f t="shared" si="66"/>
        <v>1.9568445775803596E-4</v>
      </c>
      <c r="S184" s="1"/>
      <c r="T184" s="1">
        <f>SUM(OSRRefT22_8x_0)</f>
        <v>107.7</v>
      </c>
      <c r="U184" s="1"/>
      <c r="V184" s="5">
        <f t="shared" si="67"/>
        <v>2.5258699625012225E-5</v>
      </c>
      <c r="W184" s="1"/>
      <c r="X184" s="1">
        <f t="shared" si="68"/>
        <v>1432.59</v>
      </c>
      <c r="Y184" s="1"/>
      <c r="Z184" s="5">
        <f t="shared" si="69"/>
        <v>13.3016713091922</v>
      </c>
    </row>
    <row r="185" spans="1:26" s="24" customFormat="1" hidden="1" outlineLevel="2" x14ac:dyDescent="0.25">
      <c r="A185" s="29"/>
      <c r="B185" s="11" t="str">
        <f>CONCATENATE("          ", "6277", " - ", "EMPLOYEE APPRECIATION")</f>
        <v xml:space="preserve">          6277 - EMPLOYEE APPRECIATION</v>
      </c>
      <c r="C185" s="11"/>
      <c r="D185" s="6">
        <v>123.17</v>
      </c>
      <c r="E185" s="2"/>
      <c r="F185" s="7">
        <f t="shared" si="62"/>
        <v>4.8702866740020287E-5</v>
      </c>
      <c r="G185" s="2"/>
      <c r="H185" s="6"/>
      <c r="I185" s="2"/>
      <c r="J185" s="7">
        <f t="shared" si="63"/>
        <v>0</v>
      </c>
      <c r="K185" s="2"/>
      <c r="L185" s="6">
        <f t="shared" si="64"/>
        <v>123.17</v>
      </c>
      <c r="M185" s="2"/>
      <c r="N185" s="7">
        <f t="shared" si="65"/>
        <v>0</v>
      </c>
      <c r="O185" s="11"/>
      <c r="P185" s="6">
        <v>1540.29</v>
      </c>
      <c r="Q185" s="2"/>
      <c r="R185" s="7">
        <f t="shared" si="66"/>
        <v>1.9568445775803596E-4</v>
      </c>
      <c r="S185" s="2"/>
      <c r="T185" s="6">
        <v>107.7</v>
      </c>
      <c r="U185" s="2"/>
      <c r="V185" s="7">
        <f t="shared" si="67"/>
        <v>2.5258699625012225E-5</v>
      </c>
      <c r="W185" s="2"/>
      <c r="X185" s="6">
        <f t="shared" si="68"/>
        <v>1432.59</v>
      </c>
      <c r="Y185" s="2"/>
      <c r="Z185" s="7">
        <f t="shared" si="69"/>
        <v>13.3016713091922</v>
      </c>
    </row>
    <row r="186" spans="1:26" s="28" customFormat="1" outlineLevel="1" collapsed="1" x14ac:dyDescent="0.25">
      <c r="A186" s="27"/>
      <c r="B186" s="14" t="str">
        <f>CONCATENATE("     ","Equipment Rental                                  ")</f>
        <v xml:space="preserve">     Equipment Rental                                  </v>
      </c>
      <c r="C186" s="14"/>
      <c r="D186" s="1">
        <f>SUM(OSRRefD22_9x_0)</f>
        <v>4246.51</v>
      </c>
      <c r="E186" s="1"/>
      <c r="F186" s="5">
        <f t="shared" si="62"/>
        <v>1.6791200019498544E-3</v>
      </c>
      <c r="G186" s="1"/>
      <c r="H186" s="1">
        <f>SUM(OSRRefH22_9x_0)</f>
        <v>4077.27</v>
      </c>
      <c r="I186" s="1"/>
      <c r="J186" s="5">
        <f t="shared" si="63"/>
        <v>5.9943936944389228E-3</v>
      </c>
      <c r="K186" s="1"/>
      <c r="L186" s="1">
        <f t="shared" si="64"/>
        <v>169.24000000000024</v>
      </c>
      <c r="M186" s="1"/>
      <c r="N186" s="5">
        <f t="shared" si="65"/>
        <v>4.1508166003232615E-2</v>
      </c>
      <c r="O186" s="14"/>
      <c r="P186" s="1">
        <f>SUM(OSRRefP22_9x_0)</f>
        <v>16335.6</v>
      </c>
      <c r="Q186" s="1"/>
      <c r="R186" s="5">
        <f t="shared" si="66"/>
        <v>2.0753384285765487E-3</v>
      </c>
      <c r="S186" s="1"/>
      <c r="T186" s="1">
        <f>SUM(OSRRefT22_9x_0)</f>
        <v>11540.93</v>
      </c>
      <c r="U186" s="1"/>
      <c r="V186" s="5">
        <f t="shared" si="67"/>
        <v>2.7066748770964932E-3</v>
      </c>
      <c r="W186" s="1"/>
      <c r="X186" s="1">
        <f t="shared" si="68"/>
        <v>4794.67</v>
      </c>
      <c r="Y186" s="1"/>
      <c r="Z186" s="5">
        <f t="shared" si="69"/>
        <v>0.4154491882369965</v>
      </c>
    </row>
    <row r="187" spans="1:26" s="24" customFormat="1" hidden="1" outlineLevel="2" x14ac:dyDescent="0.25">
      <c r="A187" s="29"/>
      <c r="B187" s="11" t="str">
        <f>CONCATENATE("          ", "6351", " - ", "EQUIPMENT RENTAL")</f>
        <v xml:space="preserve">          6351 - EQUIPMENT RENTAL</v>
      </c>
      <c r="C187" s="11"/>
      <c r="D187" s="6">
        <v>4246.51</v>
      </c>
      <c r="E187" s="2"/>
      <c r="F187" s="7">
        <f t="shared" si="62"/>
        <v>1.6791200019498544E-3</v>
      </c>
      <c r="G187" s="2"/>
      <c r="H187" s="6">
        <v>4077.27</v>
      </c>
      <c r="I187" s="2"/>
      <c r="J187" s="7">
        <f t="shared" si="63"/>
        <v>5.9943936944389228E-3</v>
      </c>
      <c r="K187" s="2"/>
      <c r="L187" s="6">
        <f t="shared" si="64"/>
        <v>169.24000000000024</v>
      </c>
      <c r="M187" s="2"/>
      <c r="N187" s="7">
        <f t="shared" si="65"/>
        <v>4.1508166003232615E-2</v>
      </c>
      <c r="O187" s="11"/>
      <c r="P187" s="6">
        <v>16335.6</v>
      </c>
      <c r="Q187" s="2"/>
      <c r="R187" s="7">
        <f t="shared" si="66"/>
        <v>2.0753384285765487E-3</v>
      </c>
      <c r="S187" s="2"/>
      <c r="T187" s="6">
        <v>11540.93</v>
      </c>
      <c r="U187" s="2"/>
      <c r="V187" s="7">
        <f t="shared" si="67"/>
        <v>2.7066748770964932E-3</v>
      </c>
      <c r="W187" s="2"/>
      <c r="X187" s="6">
        <f t="shared" si="68"/>
        <v>4794.67</v>
      </c>
      <c r="Y187" s="2"/>
      <c r="Z187" s="7">
        <f t="shared" si="69"/>
        <v>0.4154491882369965</v>
      </c>
    </row>
    <row r="188" spans="1:26" s="28" customFormat="1" outlineLevel="1" collapsed="1" x14ac:dyDescent="0.25">
      <c r="A188" s="27"/>
      <c r="B188" s="14" t="str">
        <f>CONCATENATE("     ","Freight out/Postage                               ")</f>
        <v xml:space="preserve">     Freight out/Postage                               </v>
      </c>
      <c r="C188" s="14"/>
      <c r="D188" s="1">
        <f>SUM(OSRRefD22_10x_0)</f>
        <v>-23513.759999999998</v>
      </c>
      <c r="E188" s="1"/>
      <c r="F188" s="5">
        <f t="shared" si="62"/>
        <v>-9.2976172756094773E-3</v>
      </c>
      <c r="G188" s="1"/>
      <c r="H188" s="1">
        <f>SUM(OSRRefH22_10x_0)</f>
        <v>49268.130000000005</v>
      </c>
      <c r="I188" s="1"/>
      <c r="J188" s="5">
        <f t="shared" si="63"/>
        <v>7.2433900087263567E-2</v>
      </c>
      <c r="K188" s="1"/>
      <c r="L188" s="1">
        <f t="shared" si="64"/>
        <v>-72781.89</v>
      </c>
      <c r="M188" s="1"/>
      <c r="N188" s="5">
        <f t="shared" si="65"/>
        <v>-1.4772610610550876</v>
      </c>
      <c r="O188" s="14"/>
      <c r="P188" s="1">
        <f>SUM(OSRRefP22_10x_0)</f>
        <v>-35526.87999999999</v>
      </c>
      <c r="Q188" s="1"/>
      <c r="R188" s="5">
        <f t="shared" si="66"/>
        <v>-4.5134735982411169E-3</v>
      </c>
      <c r="S188" s="1"/>
      <c r="T188" s="1">
        <f>SUM(OSRRefT22_10x_0)</f>
        <v>-31200.739999999991</v>
      </c>
      <c r="U188" s="1"/>
      <c r="V188" s="5">
        <f t="shared" si="67"/>
        <v>-7.3174570077818354E-3</v>
      </c>
      <c r="W188" s="1"/>
      <c r="X188" s="1">
        <f t="shared" si="68"/>
        <v>-4326.1399999999994</v>
      </c>
      <c r="Y188" s="1"/>
      <c r="Z188" s="5">
        <f t="shared" si="69"/>
        <v>0.13865504472009321</v>
      </c>
    </row>
    <row r="189" spans="1:26" s="24" customFormat="1" hidden="1" outlineLevel="2" x14ac:dyDescent="0.25">
      <c r="A189" s="29"/>
      <c r="B189" s="11" t="str">
        <f>CONCATENATE("          ", "6305", " - ", "FREIGHT OUT")</f>
        <v xml:space="preserve">          6305 - FREIGHT OUT</v>
      </c>
      <c r="C189" s="11"/>
      <c r="D189" s="6">
        <v>26190.81</v>
      </c>
      <c r="E189" s="2"/>
      <c r="F189" s="7">
        <f t="shared" si="62"/>
        <v>1.0356154333386302E-2</v>
      </c>
      <c r="G189" s="2"/>
      <c r="H189" s="6">
        <v>60954.65</v>
      </c>
      <c r="I189" s="2"/>
      <c r="J189" s="7">
        <f t="shared" si="63"/>
        <v>8.9615396970701353E-2</v>
      </c>
      <c r="K189" s="2"/>
      <c r="L189" s="6">
        <f t="shared" si="64"/>
        <v>-34763.839999999997</v>
      </c>
      <c r="M189" s="2"/>
      <c r="N189" s="7">
        <f t="shared" si="65"/>
        <v>-0.5703230188344941</v>
      </c>
      <c r="O189" s="11"/>
      <c r="P189" s="6">
        <v>54887.3</v>
      </c>
      <c r="Q189" s="2"/>
      <c r="R189" s="7">
        <f t="shared" si="66"/>
        <v>6.9730969741429519E-3</v>
      </c>
      <c r="S189" s="2"/>
      <c r="T189" s="6">
        <v>86887.66</v>
      </c>
      <c r="U189" s="2"/>
      <c r="V189" s="7">
        <f t="shared" si="67"/>
        <v>2.0377616574375021E-2</v>
      </c>
      <c r="W189" s="2"/>
      <c r="X189" s="6">
        <f t="shared" si="68"/>
        <v>-32000.36</v>
      </c>
      <c r="Y189" s="2"/>
      <c r="Z189" s="7">
        <f t="shared" si="69"/>
        <v>-0.36829579712470101</v>
      </c>
    </row>
    <row r="190" spans="1:26" s="24" customFormat="1" hidden="1" outlineLevel="2" x14ac:dyDescent="0.25">
      <c r="A190" s="29"/>
      <c r="B190" s="11" t="str">
        <f>CONCATENATE("          ", "6307", " - ", "POSTAGE")</f>
        <v xml:space="preserve">          6307 - POSTAGE</v>
      </c>
      <c r="C190" s="11"/>
      <c r="D190" s="6">
        <v>-49704.57</v>
      </c>
      <c r="E190" s="2"/>
      <c r="F190" s="7">
        <f t="shared" si="62"/>
        <v>-1.9653771608995781E-2</v>
      </c>
      <c r="G190" s="2"/>
      <c r="H190" s="6">
        <v>-11686.52</v>
      </c>
      <c r="I190" s="2"/>
      <c r="J190" s="7">
        <f t="shared" si="63"/>
        <v>-1.7181496883437782E-2</v>
      </c>
      <c r="K190" s="2"/>
      <c r="L190" s="6">
        <f t="shared" si="64"/>
        <v>-38018.050000000003</v>
      </c>
      <c r="M190" s="2"/>
      <c r="N190" s="7">
        <f t="shared" si="65"/>
        <v>3.2531540612603238</v>
      </c>
      <c r="O190" s="11"/>
      <c r="P190" s="6">
        <v>-90414.18</v>
      </c>
      <c r="Q190" s="2"/>
      <c r="R190" s="7">
        <f t="shared" si="66"/>
        <v>-1.1486570572384069E-2</v>
      </c>
      <c r="S190" s="2"/>
      <c r="T190" s="6">
        <v>-118088.4</v>
      </c>
      <c r="U190" s="2"/>
      <c r="V190" s="7">
        <f t="shared" si="67"/>
        <v>-2.7695073582156855E-2</v>
      </c>
      <c r="W190" s="2"/>
      <c r="X190" s="6">
        <f t="shared" si="68"/>
        <v>27674.22</v>
      </c>
      <c r="Y190" s="2"/>
      <c r="Z190" s="7">
        <f t="shared" si="69"/>
        <v>-0.23435172294653839</v>
      </c>
    </row>
    <row r="191" spans="1:26" s="28" customFormat="1" outlineLevel="1" collapsed="1" x14ac:dyDescent="0.25">
      <c r="A191" s="27"/>
      <c r="B191" s="14" t="str">
        <f>CONCATENATE("     ","General                                           ")</f>
        <v xml:space="preserve">     General                                           </v>
      </c>
      <c r="C191" s="14"/>
      <c r="D191" s="1">
        <f>SUM(OSRRefD22_11x_0)</f>
        <v>2393.16</v>
      </c>
      <c r="E191" s="1"/>
      <c r="F191" s="5">
        <f t="shared" ref="F191:F199" si="70">IF(D$12=0,0,D191/D$12)</f>
        <v>9.4628361262926808E-4</v>
      </c>
      <c r="G191" s="1"/>
      <c r="H191" s="1">
        <f>SUM(OSRRefH22_11x_0)</f>
        <v>-40</v>
      </c>
      <c r="I191" s="1"/>
      <c r="J191" s="5">
        <f t="shared" ref="J191:J199" si="71">IF(H$12=0,0,H191/H$12)</f>
        <v>-5.8807915045497823E-5</v>
      </c>
      <c r="K191" s="1"/>
      <c r="L191" s="1">
        <f t="shared" ref="L191:L199" si="72">+D191-H191</f>
        <v>2433.16</v>
      </c>
      <c r="M191" s="1"/>
      <c r="N191" s="5">
        <f t="shared" ref="N191:N199" si="73">IF(H191=0,0,L191/H191)</f>
        <v>-60.828999999999994</v>
      </c>
      <c r="O191" s="14"/>
      <c r="P191" s="1">
        <f>SUM(OSRRefP22_11x_0)</f>
        <v>29069.07</v>
      </c>
      <c r="Q191" s="1"/>
      <c r="R191" s="5">
        <f t="shared" ref="R191:R199" si="74">IF(P$12=0,0,P191/P$12)</f>
        <v>3.6930481925354251E-3</v>
      </c>
      <c r="S191" s="1"/>
      <c r="T191" s="1">
        <f>SUM(OSRRefT22_11x_0)</f>
        <v>8379.52</v>
      </c>
      <c r="U191" s="1"/>
      <c r="V191" s="5">
        <f t="shared" ref="V191:V199" si="75">IF(T$12=0,0,T191/T$12)</f>
        <v>1.965234713851276E-3</v>
      </c>
      <c r="W191" s="1"/>
      <c r="X191" s="1">
        <f t="shared" ref="X191:X199" si="76">+P191-T191</f>
        <v>20689.55</v>
      </c>
      <c r="Y191" s="1"/>
      <c r="Z191" s="5">
        <f t="shared" ref="Z191:Z199" si="77">IF(T191=0,0,X191/T191)</f>
        <v>2.4690614736882299</v>
      </c>
    </row>
    <row r="192" spans="1:26" s="24" customFormat="1" hidden="1" outlineLevel="2" x14ac:dyDescent="0.25">
      <c r="A192" s="29"/>
      <c r="B192" s="11" t="str">
        <f>CONCATENATE("          ", "6279", " - ", "GENERAL EXPENSE")</f>
        <v xml:space="preserve">          6279 - GENERAL EXPENSE</v>
      </c>
      <c r="C192" s="11"/>
      <c r="D192" s="6">
        <v>2393.16</v>
      </c>
      <c r="E192" s="2"/>
      <c r="F192" s="7">
        <f t="shared" si="70"/>
        <v>9.4628361262926808E-4</v>
      </c>
      <c r="G192" s="2"/>
      <c r="H192" s="6">
        <v>-40</v>
      </c>
      <c r="I192" s="2"/>
      <c r="J192" s="7">
        <f t="shared" si="71"/>
        <v>-5.8807915045497823E-5</v>
      </c>
      <c r="K192" s="2"/>
      <c r="L192" s="6">
        <f t="shared" si="72"/>
        <v>2433.16</v>
      </c>
      <c r="M192" s="2"/>
      <c r="N192" s="7">
        <f t="shared" si="73"/>
        <v>-60.828999999999994</v>
      </c>
      <c r="O192" s="11"/>
      <c r="P192" s="6">
        <v>29069.07</v>
      </c>
      <c r="Q192" s="2"/>
      <c r="R192" s="7">
        <f t="shared" si="74"/>
        <v>3.6930481925354251E-3</v>
      </c>
      <c r="S192" s="2"/>
      <c r="T192" s="6">
        <v>8379.52</v>
      </c>
      <c r="U192" s="2"/>
      <c r="V192" s="7">
        <f t="shared" si="75"/>
        <v>1.965234713851276E-3</v>
      </c>
      <c r="W192" s="2"/>
      <c r="X192" s="6">
        <f t="shared" si="76"/>
        <v>20689.55</v>
      </c>
      <c r="Y192" s="2"/>
      <c r="Z192" s="7">
        <f t="shared" si="77"/>
        <v>2.4690614736882299</v>
      </c>
    </row>
    <row r="193" spans="1:26" s="28" customFormat="1" outlineLevel="1" collapsed="1" x14ac:dyDescent="0.25">
      <c r="A193" s="27"/>
      <c r="B193" s="14" t="str">
        <f>CONCATENATE("     ","Insurance                                         ")</f>
        <v xml:space="preserve">     Insurance                                         </v>
      </c>
      <c r="C193" s="14"/>
      <c r="D193" s="1">
        <f>SUM(OSRRefD22_12x_0)</f>
        <v>18509.43</v>
      </c>
      <c r="E193" s="1"/>
      <c r="F193" s="5">
        <f t="shared" si="70"/>
        <v>7.3188463320916922E-3</v>
      </c>
      <c r="G193" s="1"/>
      <c r="H193" s="1">
        <f>SUM(OSRRefH22_12x_0)</f>
        <v>14675.32</v>
      </c>
      <c r="I193" s="1"/>
      <c r="J193" s="5">
        <f t="shared" si="71"/>
        <v>2.1575624295637377E-2</v>
      </c>
      <c r="K193" s="1"/>
      <c r="L193" s="1">
        <f t="shared" si="72"/>
        <v>3834.1100000000006</v>
      </c>
      <c r="M193" s="1"/>
      <c r="N193" s="5">
        <f t="shared" si="73"/>
        <v>0.26126244606591209</v>
      </c>
      <c r="O193" s="14"/>
      <c r="P193" s="1">
        <f>SUM(OSRRefP22_12x_0)</f>
        <v>53388.73</v>
      </c>
      <c r="Q193" s="1"/>
      <c r="R193" s="5">
        <f t="shared" si="74"/>
        <v>6.7827127881374205E-3</v>
      </c>
      <c r="S193" s="1"/>
      <c r="T193" s="1">
        <f>SUM(OSRRefT22_12x_0)</f>
        <v>40365.279999999999</v>
      </c>
      <c r="U193" s="1"/>
      <c r="V193" s="5">
        <f t="shared" si="75"/>
        <v>9.4668011401997532E-3</v>
      </c>
      <c r="W193" s="1"/>
      <c r="X193" s="1">
        <f t="shared" si="76"/>
        <v>13023.450000000004</v>
      </c>
      <c r="Y193" s="1"/>
      <c r="Z193" s="5">
        <f t="shared" si="77"/>
        <v>0.32263990241118123</v>
      </c>
    </row>
    <row r="194" spans="1:26" s="24" customFormat="1" hidden="1" outlineLevel="2" x14ac:dyDescent="0.25">
      <c r="A194" s="29"/>
      <c r="B194" s="11" t="str">
        <f>CONCATENATE("          ", "6314", " - ", "LIABILITY INSURANCE")</f>
        <v xml:space="preserve">          6314 - LIABILITY INSURANCE</v>
      </c>
      <c r="C194" s="11"/>
      <c r="D194" s="6">
        <v>18509.43</v>
      </c>
      <c r="E194" s="2"/>
      <c r="F194" s="7">
        <f t="shared" si="70"/>
        <v>7.3188463320916922E-3</v>
      </c>
      <c r="G194" s="2"/>
      <c r="H194" s="6">
        <v>14675.32</v>
      </c>
      <c r="I194" s="2"/>
      <c r="J194" s="7">
        <f t="shared" si="71"/>
        <v>2.1575624295637377E-2</v>
      </c>
      <c r="K194" s="2"/>
      <c r="L194" s="6">
        <f t="shared" si="72"/>
        <v>3834.1100000000006</v>
      </c>
      <c r="M194" s="2"/>
      <c r="N194" s="7">
        <f t="shared" si="73"/>
        <v>0.26126244606591209</v>
      </c>
      <c r="O194" s="11"/>
      <c r="P194" s="6">
        <v>53388.73</v>
      </c>
      <c r="Q194" s="2"/>
      <c r="R194" s="7">
        <f t="shared" si="74"/>
        <v>6.7827127881374205E-3</v>
      </c>
      <c r="S194" s="2"/>
      <c r="T194" s="6">
        <v>40365.279999999999</v>
      </c>
      <c r="U194" s="2"/>
      <c r="V194" s="7">
        <f t="shared" si="75"/>
        <v>9.4668011401997532E-3</v>
      </c>
      <c r="W194" s="2"/>
      <c r="X194" s="6">
        <f t="shared" si="76"/>
        <v>13023.450000000004</v>
      </c>
      <c r="Y194" s="2"/>
      <c r="Z194" s="7">
        <f t="shared" si="77"/>
        <v>0.32263990241118123</v>
      </c>
    </row>
    <row r="195" spans="1:26" s="28" customFormat="1" outlineLevel="1" collapsed="1" x14ac:dyDescent="0.25">
      <c r="A195" s="27"/>
      <c r="B195" s="14" t="str">
        <f>CONCATENATE("     ","Interest                                          ")</f>
        <v xml:space="preserve">     Interest                                          </v>
      </c>
      <c r="C195" s="14"/>
      <c r="D195" s="1">
        <f>SUM(OSRRefD22_13x_0)</f>
        <v>10368</v>
      </c>
      <c r="E195" s="1"/>
      <c r="F195" s="5">
        <f t="shared" si="70"/>
        <v>4.0996291496348978E-3</v>
      </c>
      <c r="G195" s="1"/>
      <c r="H195" s="1">
        <f>SUM(OSRRefH22_13x_0)</f>
        <v>10805</v>
      </c>
      <c r="I195" s="1"/>
      <c r="J195" s="5">
        <f t="shared" si="71"/>
        <v>1.5885488051665099E-2</v>
      </c>
      <c r="K195" s="1"/>
      <c r="L195" s="1">
        <f t="shared" si="72"/>
        <v>-437</v>
      </c>
      <c r="M195" s="1"/>
      <c r="N195" s="5">
        <f t="shared" si="73"/>
        <v>-4.0444238778343362E-2</v>
      </c>
      <c r="O195" s="14"/>
      <c r="P195" s="1">
        <f>SUM(OSRRefP22_13x_0)</f>
        <v>43842</v>
      </c>
      <c r="Q195" s="1"/>
      <c r="R195" s="5">
        <f t="shared" si="74"/>
        <v>5.5698589207407775E-3</v>
      </c>
      <c r="S195" s="1"/>
      <c r="T195" s="1">
        <f>SUM(OSRRefT22_13x_0)</f>
        <v>45467</v>
      </c>
      <c r="U195" s="1"/>
      <c r="V195" s="5">
        <f t="shared" si="75"/>
        <v>1.0663298940115419E-2</v>
      </c>
      <c r="W195" s="1"/>
      <c r="X195" s="1">
        <f t="shared" si="76"/>
        <v>-1625</v>
      </c>
      <c r="Y195" s="1"/>
      <c r="Z195" s="5">
        <f t="shared" si="77"/>
        <v>-3.5740207183231794E-2</v>
      </c>
    </row>
    <row r="196" spans="1:26" s="24" customFormat="1" hidden="1" outlineLevel="2" x14ac:dyDescent="0.25">
      <c r="A196" s="29"/>
      <c r="B196" s="11" t="str">
        <f>CONCATENATE("          ", "6401", " - ", "INTEREST EXPENSE")</f>
        <v xml:space="preserve">          6401 - INTEREST EXPENSE</v>
      </c>
      <c r="C196" s="11"/>
      <c r="D196" s="6">
        <v>10368</v>
      </c>
      <c r="E196" s="2"/>
      <c r="F196" s="7">
        <f t="shared" si="70"/>
        <v>4.0996291496348978E-3</v>
      </c>
      <c r="G196" s="2"/>
      <c r="H196" s="6">
        <v>10805</v>
      </c>
      <c r="I196" s="2"/>
      <c r="J196" s="7">
        <f t="shared" si="71"/>
        <v>1.5885488051665099E-2</v>
      </c>
      <c r="K196" s="2"/>
      <c r="L196" s="6">
        <f t="shared" si="72"/>
        <v>-437</v>
      </c>
      <c r="M196" s="2"/>
      <c r="N196" s="7">
        <f t="shared" si="73"/>
        <v>-4.0444238778343362E-2</v>
      </c>
      <c r="O196" s="11"/>
      <c r="P196" s="6">
        <v>43842</v>
      </c>
      <c r="Q196" s="2"/>
      <c r="R196" s="7">
        <f t="shared" si="74"/>
        <v>5.5698589207407775E-3</v>
      </c>
      <c r="S196" s="2"/>
      <c r="T196" s="6">
        <v>45467</v>
      </c>
      <c r="U196" s="2"/>
      <c r="V196" s="7">
        <f t="shared" si="75"/>
        <v>1.0663298940115419E-2</v>
      </c>
      <c r="W196" s="2"/>
      <c r="X196" s="6">
        <f t="shared" si="76"/>
        <v>-1625</v>
      </c>
      <c r="Y196" s="2"/>
      <c r="Z196" s="7">
        <f t="shared" si="77"/>
        <v>-3.5740207183231794E-2</v>
      </c>
    </row>
    <row r="197" spans="1:26" s="28" customFormat="1" outlineLevel="1" collapsed="1" x14ac:dyDescent="0.25">
      <c r="A197" s="27"/>
      <c r="B197" s="14" t="str">
        <f>CONCATENATE("     ","Inventory Adjustment                              ")</f>
        <v xml:space="preserve">     Inventory Adjustment                              </v>
      </c>
      <c r="C197" s="14"/>
      <c r="D197" s="1">
        <f>SUM(OSRRefD22_14x_0)</f>
        <v>5690</v>
      </c>
      <c r="E197" s="1"/>
      <c r="F197" s="5">
        <f t="shared" si="70"/>
        <v>2.2498929264489361E-3</v>
      </c>
      <c r="G197" s="1"/>
      <c r="H197" s="1">
        <f>SUM(OSRRefH22_14x_0)</f>
        <v>3350</v>
      </c>
      <c r="I197" s="1"/>
      <c r="J197" s="5">
        <f t="shared" si="71"/>
        <v>4.9251628850604428E-3</v>
      </c>
      <c r="K197" s="1"/>
      <c r="L197" s="1">
        <f t="shared" si="72"/>
        <v>2340</v>
      </c>
      <c r="M197" s="1"/>
      <c r="N197" s="5">
        <f t="shared" si="73"/>
        <v>0.69850746268656716</v>
      </c>
      <c r="O197" s="14"/>
      <c r="P197" s="1">
        <f>SUM(OSRRefP22_14x_0)</f>
        <v>25070</v>
      </c>
      <c r="Q197" s="1"/>
      <c r="R197" s="5">
        <f t="shared" si="74"/>
        <v>3.1849907199254434E-3</v>
      </c>
      <c r="S197" s="1"/>
      <c r="T197" s="1">
        <f>SUM(OSRRefT22_14x_0)</f>
        <v>13400</v>
      </c>
      <c r="U197" s="1"/>
      <c r="V197" s="5">
        <f t="shared" si="75"/>
        <v>3.1426794333812794E-3</v>
      </c>
      <c r="W197" s="1"/>
      <c r="X197" s="1">
        <f t="shared" si="76"/>
        <v>11670</v>
      </c>
      <c r="Y197" s="1"/>
      <c r="Z197" s="5">
        <f t="shared" si="77"/>
        <v>0.87089552238805967</v>
      </c>
    </row>
    <row r="198" spans="1:26" s="24" customFormat="1" hidden="1" outlineLevel="2" x14ac:dyDescent="0.25">
      <c r="A198" s="29"/>
      <c r="B198" s="11" t="str">
        <f>CONCATENATE("          ", "6408", " - ", "INVENTORY ADJUSTMENT")</f>
        <v xml:space="preserve">          6408 - INVENTORY ADJUSTMENT</v>
      </c>
      <c r="C198" s="11"/>
      <c r="D198" s="6">
        <v>5690</v>
      </c>
      <c r="E198" s="2"/>
      <c r="F198" s="7">
        <f t="shared" si="70"/>
        <v>2.2498929264489361E-3</v>
      </c>
      <c r="G198" s="2"/>
      <c r="H198" s="6">
        <v>3350</v>
      </c>
      <c r="I198" s="2"/>
      <c r="J198" s="7">
        <f t="shared" si="71"/>
        <v>4.9251628850604428E-3</v>
      </c>
      <c r="K198" s="2"/>
      <c r="L198" s="6">
        <f t="shared" si="72"/>
        <v>2340</v>
      </c>
      <c r="M198" s="2"/>
      <c r="N198" s="7">
        <f t="shared" si="73"/>
        <v>0.69850746268656716</v>
      </c>
      <c r="O198" s="11"/>
      <c r="P198" s="6">
        <v>25070</v>
      </c>
      <c r="Q198" s="2"/>
      <c r="R198" s="7">
        <f t="shared" si="74"/>
        <v>3.1849907199254434E-3</v>
      </c>
      <c r="S198" s="2"/>
      <c r="T198" s="6">
        <v>13400</v>
      </c>
      <c r="U198" s="2"/>
      <c r="V198" s="7">
        <f t="shared" si="75"/>
        <v>3.1426794333812794E-3</v>
      </c>
      <c r="W198" s="2"/>
      <c r="X198" s="6">
        <f t="shared" si="76"/>
        <v>11670</v>
      </c>
      <c r="Y198" s="2"/>
      <c r="Z198" s="7">
        <f t="shared" si="77"/>
        <v>0.87089552238805967</v>
      </c>
    </row>
    <row r="199" spans="1:26" s="24" customFormat="1" hidden="1" outlineLevel="2" x14ac:dyDescent="0.25">
      <c r="A199" s="29"/>
      <c r="B199" s="11" t="str">
        <f>CONCATENATE("          ", "7741", " - ", "INV. SHRINKAGE-LOGO GIFTS")</f>
        <v xml:space="preserve">          7741 - INV. SHRINKAGE-LOGO GIFTS</v>
      </c>
      <c r="C199" s="11"/>
      <c r="D199" s="6"/>
      <c r="E199" s="2"/>
      <c r="F199" s="7">
        <f t="shared" si="70"/>
        <v>0</v>
      </c>
      <c r="G199" s="2"/>
      <c r="H199" s="6"/>
      <c r="I199" s="2"/>
      <c r="J199" s="7">
        <f t="shared" si="71"/>
        <v>0</v>
      </c>
      <c r="K199" s="2"/>
      <c r="L199" s="6">
        <f t="shared" si="72"/>
        <v>0</v>
      </c>
      <c r="M199" s="2"/>
      <c r="N199" s="7">
        <f t="shared" si="73"/>
        <v>0</v>
      </c>
      <c r="O199" s="11"/>
      <c r="P199" s="6"/>
      <c r="Q199" s="2"/>
      <c r="R199" s="7">
        <f t="shared" si="74"/>
        <v>0</v>
      </c>
      <c r="S199" s="2"/>
      <c r="T199" s="6">
        <v>0</v>
      </c>
      <c r="U199" s="2"/>
      <c r="V199" s="7">
        <f t="shared" si="75"/>
        <v>0</v>
      </c>
      <c r="W199" s="2"/>
      <c r="X199" s="6">
        <f t="shared" si="76"/>
        <v>0</v>
      </c>
      <c r="Y199" s="2"/>
      <c r="Z199" s="7">
        <f t="shared" si="77"/>
        <v>0</v>
      </c>
    </row>
    <row r="200" spans="1:26" s="28" customFormat="1" outlineLevel="1" collapsed="1" x14ac:dyDescent="0.25">
      <c r="A200" s="27"/>
      <c r="B200" s="14" t="str">
        <f>CONCATENATE("     ","Professional Services                             ")</f>
        <v xml:space="preserve">     Professional Services                             </v>
      </c>
      <c r="C200" s="14"/>
      <c r="D200" s="1">
        <f>SUM(OSRRefD22_15x_0)</f>
        <v>8186.53</v>
      </c>
      <c r="E200" s="1"/>
      <c r="F200" s="5">
        <f t="shared" ref="F200:F210" si="78">IF(D$12=0,0,D200/D$12)</f>
        <v>3.2370502529282964E-3</v>
      </c>
      <c r="G200" s="1"/>
      <c r="H200" s="1">
        <f>SUM(OSRRefH22_15x_0)</f>
        <v>0</v>
      </c>
      <c r="I200" s="1"/>
      <c r="J200" s="5">
        <f t="shared" ref="J200:J210" si="79">IF(H$12=0,0,H200/H$12)</f>
        <v>0</v>
      </c>
      <c r="K200" s="1"/>
      <c r="L200" s="1">
        <f t="shared" ref="L200:L210" si="80">+D200-H200</f>
        <v>8186.53</v>
      </c>
      <c r="M200" s="1"/>
      <c r="N200" s="5">
        <f t="shared" ref="N200:N210" si="81">IF(H200=0,0,L200/H200)</f>
        <v>0</v>
      </c>
      <c r="O200" s="14"/>
      <c r="P200" s="1">
        <f>SUM(OSRRefP22_15x_0)</f>
        <v>8186.53</v>
      </c>
      <c r="Q200" s="1"/>
      <c r="R200" s="5">
        <f t="shared" ref="R200:R210" si="82">IF(P$12=0,0,P200/P$12)</f>
        <v>1.0400487466450435E-3</v>
      </c>
      <c r="S200" s="1"/>
      <c r="T200" s="1">
        <f>SUM(OSRRefT22_15x_0)</f>
        <v>0</v>
      </c>
      <c r="U200" s="1"/>
      <c r="V200" s="5">
        <f t="shared" ref="V200:V210" si="83">IF(T$12=0,0,T200/T$12)</f>
        <v>0</v>
      </c>
      <c r="W200" s="1"/>
      <c r="X200" s="1">
        <f t="shared" ref="X200:X210" si="84">+P200-T200</f>
        <v>8186.53</v>
      </c>
      <c r="Y200" s="1"/>
      <c r="Z200" s="5">
        <f t="shared" ref="Z200:Z210" si="85">IF(T200=0,0,X200/T200)</f>
        <v>0</v>
      </c>
    </row>
    <row r="201" spans="1:26" s="24" customFormat="1" hidden="1" outlineLevel="2" x14ac:dyDescent="0.25">
      <c r="A201" s="29"/>
      <c r="B201" s="11" t="str">
        <f>CONCATENATE("          ", "6336", " - ", "PROFESSIONAL SERVICES")</f>
        <v xml:space="preserve">          6336 - PROFESSIONAL SERVICES</v>
      </c>
      <c r="C201" s="11"/>
      <c r="D201" s="6">
        <v>8186.53</v>
      </c>
      <c r="E201" s="2"/>
      <c r="F201" s="7">
        <f t="shared" si="78"/>
        <v>3.2370502529282964E-3</v>
      </c>
      <c r="G201" s="2"/>
      <c r="H201" s="6"/>
      <c r="I201" s="2"/>
      <c r="J201" s="7">
        <f t="shared" si="79"/>
        <v>0</v>
      </c>
      <c r="K201" s="2"/>
      <c r="L201" s="6">
        <f t="shared" si="80"/>
        <v>8186.53</v>
      </c>
      <c r="M201" s="2"/>
      <c r="N201" s="7">
        <f t="shared" si="81"/>
        <v>0</v>
      </c>
      <c r="O201" s="11"/>
      <c r="P201" s="6">
        <v>8186.53</v>
      </c>
      <c r="Q201" s="2"/>
      <c r="R201" s="7">
        <f t="shared" si="82"/>
        <v>1.0400487466450435E-3</v>
      </c>
      <c r="S201" s="2"/>
      <c r="T201" s="6"/>
      <c r="U201" s="2"/>
      <c r="V201" s="7">
        <f t="shared" si="83"/>
        <v>0</v>
      </c>
      <c r="W201" s="2"/>
      <c r="X201" s="6">
        <f t="shared" si="84"/>
        <v>8186.53</v>
      </c>
      <c r="Y201" s="2"/>
      <c r="Z201" s="7">
        <f t="shared" si="85"/>
        <v>0</v>
      </c>
    </row>
    <row r="202" spans="1:26" s="28" customFormat="1" outlineLevel="1" collapsed="1" x14ac:dyDescent="0.25">
      <c r="A202" s="27"/>
      <c r="B202" s="14" t="str">
        <f>CONCATENATE("     ","R/H Commissions                                   ")</f>
        <v xml:space="preserve">     R/H Commissions                                   </v>
      </c>
      <c r="C202" s="14"/>
      <c r="D202" s="1">
        <f>SUM(OSRRefD22_16x_0)</f>
        <v>127967.99</v>
      </c>
      <c r="E202" s="1"/>
      <c r="F202" s="5">
        <f t="shared" si="78"/>
        <v>5.0600048420542741E-2</v>
      </c>
      <c r="G202" s="1"/>
      <c r="H202" s="1">
        <f>SUM(OSRRefH22_16x_0)</f>
        <v>12242.68</v>
      </c>
      <c r="I202" s="1"/>
      <c r="J202" s="5">
        <f t="shared" si="79"/>
        <v>1.7999162134230383E-2</v>
      </c>
      <c r="K202" s="1"/>
      <c r="L202" s="1">
        <f t="shared" si="80"/>
        <v>115725.31</v>
      </c>
      <c r="M202" s="1"/>
      <c r="N202" s="5">
        <f t="shared" si="81"/>
        <v>9.4526124998774765</v>
      </c>
      <c r="O202" s="14"/>
      <c r="P202" s="1">
        <f>SUM(OSRRefP22_16x_0)</f>
        <v>270770.98</v>
      </c>
      <c r="Q202" s="1"/>
      <c r="R202" s="5">
        <f t="shared" si="82"/>
        <v>3.4399802892904577E-2</v>
      </c>
      <c r="S202" s="1"/>
      <c r="T202" s="1">
        <f>SUM(OSRRefT22_16x_0)</f>
        <v>28720.2</v>
      </c>
      <c r="U202" s="1"/>
      <c r="V202" s="5">
        <f t="shared" si="83"/>
        <v>6.7357001389997777E-3</v>
      </c>
      <c r="W202" s="1"/>
      <c r="X202" s="1">
        <f t="shared" si="84"/>
        <v>242050.77999999997</v>
      </c>
      <c r="Y202" s="1"/>
      <c r="Z202" s="5">
        <f t="shared" si="85"/>
        <v>8.4278932597962388</v>
      </c>
    </row>
    <row r="203" spans="1:26" s="24" customFormat="1" hidden="1" outlineLevel="2" x14ac:dyDescent="0.25">
      <c r="A203" s="29"/>
      <c r="B203" s="11" t="str">
        <f>CONCATENATE("          ", "6387", " - ", "COMMISSION DUE HOUSING")</f>
        <v xml:space="preserve">          6387 - COMMISSION DUE HOUSING</v>
      </c>
      <c r="C203" s="11"/>
      <c r="D203" s="6">
        <v>127967.99</v>
      </c>
      <c r="E203" s="2"/>
      <c r="F203" s="7">
        <f t="shared" si="78"/>
        <v>5.0600048420542741E-2</v>
      </c>
      <c r="G203" s="2"/>
      <c r="H203" s="6">
        <v>12242.68</v>
      </c>
      <c r="I203" s="2"/>
      <c r="J203" s="7">
        <f t="shared" si="79"/>
        <v>1.7999162134230383E-2</v>
      </c>
      <c r="K203" s="2"/>
      <c r="L203" s="6">
        <f t="shared" si="80"/>
        <v>115725.31</v>
      </c>
      <c r="M203" s="2"/>
      <c r="N203" s="7">
        <f t="shared" si="81"/>
        <v>9.4526124998774765</v>
      </c>
      <c r="O203" s="11"/>
      <c r="P203" s="6">
        <v>270770.98</v>
      </c>
      <c r="Q203" s="2"/>
      <c r="R203" s="7">
        <f t="shared" si="82"/>
        <v>3.4399802892904577E-2</v>
      </c>
      <c r="S203" s="2"/>
      <c r="T203" s="6">
        <v>28720.2</v>
      </c>
      <c r="U203" s="2"/>
      <c r="V203" s="7">
        <f t="shared" si="83"/>
        <v>6.7357001389997777E-3</v>
      </c>
      <c r="W203" s="2"/>
      <c r="X203" s="6">
        <f t="shared" si="84"/>
        <v>242050.77999999997</v>
      </c>
      <c r="Y203" s="2"/>
      <c r="Z203" s="7">
        <f t="shared" si="85"/>
        <v>8.4278932597962388</v>
      </c>
    </row>
    <row r="204" spans="1:26" s="28" customFormat="1" outlineLevel="1" collapsed="1" x14ac:dyDescent="0.25">
      <c r="A204" s="27"/>
      <c r="B204" s="14" t="str">
        <f>CONCATENATE("     ","Rent                                              ")</f>
        <v xml:space="preserve">     Rent                                              </v>
      </c>
      <c r="C204" s="14"/>
      <c r="D204" s="1">
        <f>SUM(OSRRefD22_17x_0)</f>
        <v>8750</v>
      </c>
      <c r="E204" s="1"/>
      <c r="F204" s="5">
        <f t="shared" si="78"/>
        <v>3.45985291852868E-3</v>
      </c>
      <c r="G204" s="1"/>
      <c r="H204" s="1">
        <f>SUM(OSRRefH22_17x_0)</f>
        <v>6900</v>
      </c>
      <c r="I204" s="1"/>
      <c r="J204" s="5">
        <f t="shared" si="79"/>
        <v>1.0144365345348374E-2</v>
      </c>
      <c r="K204" s="1"/>
      <c r="L204" s="1">
        <f t="shared" si="80"/>
        <v>1850</v>
      </c>
      <c r="M204" s="1"/>
      <c r="N204" s="5">
        <f t="shared" si="81"/>
        <v>0.26811594202898553</v>
      </c>
      <c r="O204" s="14"/>
      <c r="P204" s="1">
        <f>SUM(OSRRefP22_17x_0)</f>
        <v>35000</v>
      </c>
      <c r="Q204" s="1"/>
      <c r="R204" s="5">
        <f t="shared" si="82"/>
        <v>4.4465367051212817E-3</v>
      </c>
      <c r="S204" s="1"/>
      <c r="T204" s="1">
        <f>SUM(OSRRefT22_17x_0)</f>
        <v>33150</v>
      </c>
      <c r="U204" s="1"/>
      <c r="V204" s="5">
        <f t="shared" si="83"/>
        <v>7.7746136728798071E-3</v>
      </c>
      <c r="W204" s="1"/>
      <c r="X204" s="1">
        <f t="shared" si="84"/>
        <v>1850</v>
      </c>
      <c r="Y204" s="1"/>
      <c r="Z204" s="5">
        <f t="shared" si="85"/>
        <v>5.5806938159879339E-2</v>
      </c>
    </row>
    <row r="205" spans="1:26" s="24" customFormat="1" hidden="1" outlineLevel="2" x14ac:dyDescent="0.25">
      <c r="A205" s="29"/>
      <c r="B205" s="11" t="str">
        <f>CONCATENATE("          ", "6273", " - ", "RENT")</f>
        <v xml:space="preserve">          6273 - RENT</v>
      </c>
      <c r="C205" s="11"/>
      <c r="D205" s="6">
        <v>8750</v>
      </c>
      <c r="E205" s="2"/>
      <c r="F205" s="7">
        <f t="shared" si="78"/>
        <v>3.45985291852868E-3</v>
      </c>
      <c r="G205" s="2"/>
      <c r="H205" s="6">
        <v>6900</v>
      </c>
      <c r="I205" s="2"/>
      <c r="J205" s="7">
        <f t="shared" si="79"/>
        <v>1.0144365345348374E-2</v>
      </c>
      <c r="K205" s="2"/>
      <c r="L205" s="6">
        <f t="shared" si="80"/>
        <v>1850</v>
      </c>
      <c r="M205" s="2"/>
      <c r="N205" s="7">
        <f t="shared" si="81"/>
        <v>0.26811594202898553</v>
      </c>
      <c r="O205" s="11"/>
      <c r="P205" s="6">
        <v>35000</v>
      </c>
      <c r="Q205" s="2"/>
      <c r="R205" s="7">
        <f t="shared" si="82"/>
        <v>4.4465367051212817E-3</v>
      </c>
      <c r="S205" s="2"/>
      <c r="T205" s="6">
        <v>33150</v>
      </c>
      <c r="U205" s="2"/>
      <c r="V205" s="7">
        <f t="shared" si="83"/>
        <v>7.7746136728798071E-3</v>
      </c>
      <c r="W205" s="2"/>
      <c r="X205" s="6">
        <f t="shared" si="84"/>
        <v>1850</v>
      </c>
      <c r="Y205" s="2"/>
      <c r="Z205" s="7">
        <f t="shared" si="85"/>
        <v>5.5806938159879339E-2</v>
      </c>
    </row>
    <row r="206" spans="1:26" s="28" customFormat="1" outlineLevel="1" collapsed="1" x14ac:dyDescent="0.25">
      <c r="A206" s="27"/>
      <c r="B206" s="14" t="str">
        <f>CONCATENATE("     ","Repair and Maintenance                            ")</f>
        <v xml:space="preserve">     Repair and Maintenance                            </v>
      </c>
      <c r="C206" s="14"/>
      <c r="D206" s="1">
        <f>SUM(OSRRefD22_18x_0)</f>
        <v>27285.43</v>
      </c>
      <c r="E206" s="1"/>
      <c r="F206" s="5">
        <f t="shared" si="78"/>
        <v>1.078897995643543E-2</v>
      </c>
      <c r="G206" s="1"/>
      <c r="H206" s="1">
        <f>SUM(OSRRefH22_18x_0)</f>
        <v>133253.84</v>
      </c>
      <c r="I206" s="1"/>
      <c r="J206" s="5">
        <f t="shared" si="79"/>
        <v>0.19590951255515898</v>
      </c>
      <c r="K206" s="1"/>
      <c r="L206" s="1">
        <f t="shared" si="80"/>
        <v>-105968.41</v>
      </c>
      <c r="M206" s="1"/>
      <c r="N206" s="5">
        <f t="shared" si="81"/>
        <v>-0.79523719541590698</v>
      </c>
      <c r="O206" s="14"/>
      <c r="P206" s="1">
        <f>SUM(OSRRefP22_18x_0)</f>
        <v>268771.48</v>
      </c>
      <c r="Q206" s="1"/>
      <c r="R206" s="5">
        <f t="shared" si="82"/>
        <v>3.4145778603136293E-2</v>
      </c>
      <c r="S206" s="1"/>
      <c r="T206" s="1">
        <f>SUM(OSRRefT22_18x_0)</f>
        <v>241216.05</v>
      </c>
      <c r="U206" s="1"/>
      <c r="V206" s="5">
        <f t="shared" si="83"/>
        <v>5.6571993980333607E-2</v>
      </c>
      <c r="W206" s="1"/>
      <c r="X206" s="1">
        <f t="shared" si="84"/>
        <v>27555.429999999993</v>
      </c>
      <c r="Y206" s="1"/>
      <c r="Z206" s="5">
        <f t="shared" si="85"/>
        <v>0.11423547479531314</v>
      </c>
    </row>
    <row r="207" spans="1:26" s="24" customFormat="1" hidden="1" outlineLevel="2" x14ac:dyDescent="0.25">
      <c r="A207" s="29"/>
      <c r="B207" s="11" t="str">
        <f>CONCATENATE("          ", "6371", " - ", "COMPUTER SOFTWARE MAINTENANCE")</f>
        <v xml:space="preserve">          6371 - COMPUTER SOFTWARE MAINTENANCE</v>
      </c>
      <c r="C207" s="11"/>
      <c r="D207" s="6">
        <v>6547.18</v>
      </c>
      <c r="E207" s="2"/>
      <c r="F207" s="7">
        <f t="shared" si="78"/>
        <v>2.5888319807008692E-3</v>
      </c>
      <c r="G207" s="2"/>
      <c r="H207" s="6">
        <v>7.69</v>
      </c>
      <c r="I207" s="2"/>
      <c r="J207" s="7">
        <f t="shared" si="79"/>
        <v>1.1305821667496957E-5</v>
      </c>
      <c r="K207" s="2"/>
      <c r="L207" s="6">
        <f t="shared" si="80"/>
        <v>6539.4900000000007</v>
      </c>
      <c r="M207" s="2"/>
      <c r="N207" s="7">
        <f t="shared" si="81"/>
        <v>850.38881664499354</v>
      </c>
      <c r="O207" s="11"/>
      <c r="P207" s="6">
        <v>81848.399999999994</v>
      </c>
      <c r="Q207" s="2"/>
      <c r="R207" s="7">
        <f t="shared" si="82"/>
        <v>1.0398340424441391E-2</v>
      </c>
      <c r="S207" s="2"/>
      <c r="T207" s="6">
        <v>58436.47</v>
      </c>
      <c r="U207" s="2"/>
      <c r="V207" s="7">
        <f t="shared" si="83"/>
        <v>1.3705006897641951E-2</v>
      </c>
      <c r="W207" s="2"/>
      <c r="X207" s="6">
        <f t="shared" si="84"/>
        <v>23411.929999999993</v>
      </c>
      <c r="Y207" s="2"/>
      <c r="Z207" s="7">
        <f t="shared" si="85"/>
        <v>0.40063901874976349</v>
      </c>
    </row>
    <row r="208" spans="1:26" s="24" customFormat="1" hidden="1" outlineLevel="2" x14ac:dyDescent="0.25">
      <c r="A208" s="29"/>
      <c r="B208" s="11" t="str">
        <f>CONCATENATE("          ", "6372", " - ", "COMPUTER HARDWARE MAINTENANCE")</f>
        <v xml:space="preserve">          6372 - COMPUTER HARDWARE MAINTENANCE</v>
      </c>
      <c r="C208" s="11"/>
      <c r="D208" s="6"/>
      <c r="E208" s="2"/>
      <c r="F208" s="7">
        <f t="shared" si="78"/>
        <v>0</v>
      </c>
      <c r="G208" s="2"/>
      <c r="H208" s="6">
        <v>8.11</v>
      </c>
      <c r="I208" s="2"/>
      <c r="J208" s="7">
        <f t="shared" si="79"/>
        <v>1.1923304775474683E-5</v>
      </c>
      <c r="K208" s="2"/>
      <c r="L208" s="6">
        <f t="shared" si="80"/>
        <v>-8.11</v>
      </c>
      <c r="M208" s="2"/>
      <c r="N208" s="7">
        <f t="shared" si="81"/>
        <v>-1</v>
      </c>
      <c r="O208" s="11"/>
      <c r="P208" s="6"/>
      <c r="Q208" s="2"/>
      <c r="R208" s="7">
        <f t="shared" si="82"/>
        <v>0</v>
      </c>
      <c r="S208" s="2"/>
      <c r="T208" s="6">
        <v>0</v>
      </c>
      <c r="U208" s="2"/>
      <c r="V208" s="7">
        <f t="shared" si="83"/>
        <v>0</v>
      </c>
      <c r="W208" s="2"/>
      <c r="X208" s="6">
        <f t="shared" si="84"/>
        <v>0</v>
      </c>
      <c r="Y208" s="2"/>
      <c r="Z208" s="7">
        <f t="shared" si="85"/>
        <v>0</v>
      </c>
    </row>
    <row r="209" spans="1:26" s="24" customFormat="1" hidden="1" outlineLevel="2" x14ac:dyDescent="0.25">
      <c r="A209" s="29"/>
      <c r="B209" s="11" t="str">
        <f>CONCATENATE("          ", "6373", " - ", "MAINTENANCE CONTRACTS")</f>
        <v xml:space="preserve">          6373 - MAINTENANCE CONTRACTS</v>
      </c>
      <c r="C209" s="11"/>
      <c r="D209" s="6">
        <v>6946.49</v>
      </c>
      <c r="E209" s="2"/>
      <c r="F209" s="7">
        <f t="shared" si="78"/>
        <v>2.7467238514320333E-3</v>
      </c>
      <c r="G209" s="2"/>
      <c r="H209" s="6">
        <v>125859.86</v>
      </c>
      <c r="I209" s="2"/>
      <c r="J209" s="7">
        <f t="shared" si="79"/>
        <v>0.18503889886295624</v>
      </c>
      <c r="K209" s="2"/>
      <c r="L209" s="6">
        <f t="shared" si="80"/>
        <v>-118913.37</v>
      </c>
      <c r="M209" s="2"/>
      <c r="N209" s="7">
        <f t="shared" si="81"/>
        <v>-0.94480774092709141</v>
      </c>
      <c r="O209" s="11"/>
      <c r="P209" s="6">
        <v>138394.79999999999</v>
      </c>
      <c r="Q209" s="2"/>
      <c r="R209" s="7">
        <f t="shared" si="82"/>
        <v>1.7582215942797675E-2</v>
      </c>
      <c r="S209" s="2"/>
      <c r="T209" s="6">
        <v>160110.25</v>
      </c>
      <c r="U209" s="2"/>
      <c r="V209" s="7">
        <f t="shared" si="83"/>
        <v>3.7550387294666789E-2</v>
      </c>
      <c r="W209" s="2"/>
      <c r="X209" s="6">
        <f t="shared" si="84"/>
        <v>-21715.450000000012</v>
      </c>
      <c r="Y209" s="2"/>
      <c r="Z209" s="7">
        <f t="shared" si="85"/>
        <v>-0.13562810625803165</v>
      </c>
    </row>
    <row r="210" spans="1:26" s="24" customFormat="1" hidden="1" outlineLevel="2" x14ac:dyDescent="0.25">
      <c r="A210" s="29"/>
      <c r="B210" s="11" t="str">
        <f>CONCATENATE("          ", "6375", " - ", "OUTSIDE REPAIRS &amp; MAINTENANCE")</f>
        <v xml:space="preserve">          6375 - OUTSIDE REPAIRS &amp; MAINTENANCE</v>
      </c>
      <c r="C210" s="11"/>
      <c r="D210" s="6">
        <v>13791.76</v>
      </c>
      <c r="E210" s="2"/>
      <c r="F210" s="7">
        <f t="shared" si="78"/>
        <v>5.4534241243025267E-3</v>
      </c>
      <c r="G210" s="2"/>
      <c r="H210" s="6">
        <v>7378.18</v>
      </c>
      <c r="I210" s="2"/>
      <c r="J210" s="7">
        <f t="shared" si="79"/>
        <v>1.0847384565759779E-2</v>
      </c>
      <c r="K210" s="2"/>
      <c r="L210" s="6">
        <f t="shared" si="80"/>
        <v>6413.58</v>
      </c>
      <c r="M210" s="2"/>
      <c r="N210" s="7">
        <f t="shared" si="81"/>
        <v>0.86926315161733647</v>
      </c>
      <c r="O210" s="11"/>
      <c r="P210" s="6">
        <v>48528.28</v>
      </c>
      <c r="Q210" s="2"/>
      <c r="R210" s="7">
        <f t="shared" si="82"/>
        <v>6.1652222358972277E-3</v>
      </c>
      <c r="S210" s="2"/>
      <c r="T210" s="6">
        <v>22669.33</v>
      </c>
      <c r="U210" s="2"/>
      <c r="V210" s="7">
        <f t="shared" si="83"/>
        <v>5.3165997880248693E-3</v>
      </c>
      <c r="W210" s="2"/>
      <c r="X210" s="6">
        <f t="shared" si="84"/>
        <v>25858.949999999997</v>
      </c>
      <c r="Y210" s="2"/>
      <c r="Z210" s="7">
        <f t="shared" si="85"/>
        <v>1.1407019969271255</v>
      </c>
    </row>
    <row r="211" spans="1:26" s="28" customFormat="1" outlineLevel="1" collapsed="1" x14ac:dyDescent="0.25">
      <c r="A211" s="27"/>
      <c r="B211" s="14" t="str">
        <f>CONCATENATE("     ","Royalty &amp; Commissions                             ")</f>
        <v xml:space="preserve">     Royalty &amp; Commissions                             </v>
      </c>
      <c r="C211" s="14"/>
      <c r="D211" s="1">
        <f>SUM(OSRRefD22_19x_0)</f>
        <v>11775.939999999999</v>
      </c>
      <c r="E211" s="1"/>
      <c r="F211" s="5">
        <f t="shared" ref="F211:F214" si="86">IF(D$12=0,0,D211/D$12)</f>
        <v>4.6563451859906995E-3</v>
      </c>
      <c r="G211" s="1"/>
      <c r="H211" s="1">
        <f>SUM(OSRRefH22_19x_0)</f>
        <v>10995.7</v>
      </c>
      <c r="I211" s="1"/>
      <c r="J211" s="5">
        <f t="shared" ref="J211:J214" si="87">IF(H$12=0,0,H211/H$12)</f>
        <v>1.616585478664451E-2</v>
      </c>
      <c r="K211" s="1"/>
      <c r="L211" s="1">
        <f t="shared" ref="L211:L214" si="88">+D211-H211</f>
        <v>780.23999999999796</v>
      </c>
      <c r="M211" s="1"/>
      <c r="N211" s="5">
        <f t="shared" ref="N211:N214" si="89">IF(H211=0,0,L211/H211)</f>
        <v>7.0958647471284039E-2</v>
      </c>
      <c r="O211" s="14"/>
      <c r="P211" s="1">
        <f>SUM(OSRRefP22_19x_0)</f>
        <v>20907.150000000001</v>
      </c>
      <c r="Q211" s="1"/>
      <c r="R211" s="5">
        <f t="shared" ref="R211:R214" si="90">IF(P$12=0,0,P211/P$12)</f>
        <v>2.6561259964136114E-3</v>
      </c>
      <c r="S211" s="1"/>
      <c r="T211" s="1">
        <f>SUM(OSRRefT22_19x_0)</f>
        <v>24302.7</v>
      </c>
      <c r="U211" s="1"/>
      <c r="V211" s="5">
        <f t="shared" ref="V211:V214" si="91">IF(T$12=0,0,T211/T$12)</f>
        <v>5.6996713034056139E-3</v>
      </c>
      <c r="W211" s="1"/>
      <c r="X211" s="1">
        <f t="shared" ref="X211:X214" si="92">+P211-T211</f>
        <v>-3395.5499999999993</v>
      </c>
      <c r="Y211" s="1"/>
      <c r="Z211" s="5">
        <f t="shared" ref="Z211:Z214" si="93">IF(T211=0,0,X211/T211)</f>
        <v>-0.13971904356306086</v>
      </c>
    </row>
    <row r="212" spans="1:26" s="24" customFormat="1" hidden="1" outlineLevel="2" x14ac:dyDescent="0.25">
      <c r="A212" s="29"/>
      <c r="B212" s="11" t="str">
        <f>CONCATENATE("          ", "6253", " - ", "ROYALTY DUE ATHLETICS-LRG")</f>
        <v xml:space="preserve">          6253 - ROYALTY DUE ATHLETICS-LRG</v>
      </c>
      <c r="C212" s="11"/>
      <c r="D212" s="6">
        <v>8783.75</v>
      </c>
      <c r="E212" s="2"/>
      <c r="F212" s="7">
        <f t="shared" si="86"/>
        <v>3.4731980655001481E-3</v>
      </c>
      <c r="G212" s="2"/>
      <c r="H212" s="6">
        <v>10489.6</v>
      </c>
      <c r="I212" s="2"/>
      <c r="J212" s="7">
        <f t="shared" si="87"/>
        <v>1.542178764153135E-2</v>
      </c>
      <c r="K212" s="2"/>
      <c r="L212" s="6">
        <f t="shared" si="88"/>
        <v>-1705.8500000000004</v>
      </c>
      <c r="M212" s="2"/>
      <c r="N212" s="7">
        <f t="shared" si="89"/>
        <v>-0.16262297895057964</v>
      </c>
      <c r="O212" s="11"/>
      <c r="P212" s="6">
        <v>23160.29</v>
      </c>
      <c r="Q212" s="2"/>
      <c r="R212" s="7">
        <f t="shared" si="90"/>
        <v>2.9423737024643817E-3</v>
      </c>
      <c r="S212" s="2"/>
      <c r="T212" s="6">
        <v>18411.8</v>
      </c>
      <c r="U212" s="2"/>
      <c r="V212" s="7">
        <f t="shared" si="91"/>
        <v>4.3180884471290624E-3</v>
      </c>
      <c r="W212" s="2"/>
      <c r="X212" s="6">
        <f t="shared" si="92"/>
        <v>4748.4900000000016</v>
      </c>
      <c r="Y212" s="2"/>
      <c r="Z212" s="7">
        <f t="shared" si="93"/>
        <v>0.25790471328169989</v>
      </c>
    </row>
    <row r="213" spans="1:26" s="24" customFormat="1" hidden="1" outlineLevel="2" x14ac:dyDescent="0.25">
      <c r="A213" s="29"/>
      <c r="B213" s="11" t="str">
        <f>CONCATENATE("          ", "6254", " - ", "ROYALTY &amp; COMMISSIONS")</f>
        <v xml:space="preserve">          6254 - ROYALTY &amp; COMMISSIONS</v>
      </c>
      <c r="C213" s="11"/>
      <c r="D213" s="6">
        <v>1066.22</v>
      </c>
      <c r="E213" s="2"/>
      <c r="F213" s="7">
        <f t="shared" si="86"/>
        <v>4.2159592900498853E-4</v>
      </c>
      <c r="G213" s="2"/>
      <c r="H213" s="6">
        <v>185.7</v>
      </c>
      <c r="I213" s="2"/>
      <c r="J213" s="7">
        <f t="shared" si="87"/>
        <v>2.7301574559872365E-4</v>
      </c>
      <c r="K213" s="2"/>
      <c r="L213" s="6">
        <f t="shared" si="88"/>
        <v>880.52</v>
      </c>
      <c r="M213" s="2"/>
      <c r="N213" s="7">
        <f t="shared" si="89"/>
        <v>4.7416262789445343</v>
      </c>
      <c r="O213" s="11"/>
      <c r="P213" s="6">
        <v>-5961.28</v>
      </c>
      <c r="Q213" s="2"/>
      <c r="R213" s="7">
        <f t="shared" si="90"/>
        <v>-7.5734429512872546E-4</v>
      </c>
      <c r="S213" s="2"/>
      <c r="T213" s="6">
        <v>185.7</v>
      </c>
      <c r="U213" s="2"/>
      <c r="V213" s="7">
        <f t="shared" si="91"/>
        <v>4.3551908267082357E-5</v>
      </c>
      <c r="W213" s="2"/>
      <c r="X213" s="6">
        <f t="shared" si="92"/>
        <v>-6146.98</v>
      </c>
      <c r="Y213" s="2"/>
      <c r="Z213" s="7">
        <f t="shared" si="93"/>
        <v>-33.101669359181479</v>
      </c>
    </row>
    <row r="214" spans="1:26" s="24" customFormat="1" hidden="1" outlineLevel="2" x14ac:dyDescent="0.25">
      <c r="A214" s="29"/>
      <c r="B214" s="11" t="str">
        <f>CONCATENATE("          ", "6259", " - ", "ROYALTY &amp; COMMISSIONS")</f>
        <v xml:space="preserve">          6259 - ROYALTY &amp; COMMISSIONS</v>
      </c>
      <c r="C214" s="11"/>
      <c r="D214" s="6">
        <v>1925.97</v>
      </c>
      <c r="E214" s="2"/>
      <c r="F214" s="7">
        <f t="shared" si="86"/>
        <v>7.6155119148556369E-4</v>
      </c>
      <c r="G214" s="2"/>
      <c r="H214" s="6">
        <v>320.39999999999998</v>
      </c>
      <c r="I214" s="2"/>
      <c r="J214" s="7">
        <f t="shared" si="87"/>
        <v>4.7105139951443754E-4</v>
      </c>
      <c r="K214" s="2"/>
      <c r="L214" s="6">
        <f t="shared" si="88"/>
        <v>1605.5700000000002</v>
      </c>
      <c r="M214" s="2"/>
      <c r="N214" s="7">
        <f t="shared" si="89"/>
        <v>5.0111423220973794</v>
      </c>
      <c r="O214" s="11"/>
      <c r="P214" s="6">
        <v>3708.14</v>
      </c>
      <c r="Q214" s="2"/>
      <c r="R214" s="7">
        <f t="shared" si="90"/>
        <v>4.7109658907795509E-4</v>
      </c>
      <c r="S214" s="2"/>
      <c r="T214" s="6">
        <v>5705.2</v>
      </c>
      <c r="U214" s="2"/>
      <c r="V214" s="7">
        <f t="shared" si="91"/>
        <v>1.3380309480094683E-3</v>
      </c>
      <c r="W214" s="2"/>
      <c r="X214" s="6">
        <f t="shared" si="92"/>
        <v>-1997.06</v>
      </c>
      <c r="Y214" s="2"/>
      <c r="Z214" s="7">
        <f t="shared" si="93"/>
        <v>-0.35004206688634931</v>
      </c>
    </row>
    <row r="215" spans="1:26" s="28" customFormat="1" outlineLevel="1" collapsed="1" x14ac:dyDescent="0.25">
      <c r="A215" s="27"/>
      <c r="B215" s="14" t="str">
        <f>CONCATENATE("     ","Services                                          ")</f>
        <v xml:space="preserve">     Services                                          </v>
      </c>
      <c r="C215" s="14"/>
      <c r="D215" s="1">
        <f>SUM(OSRRefD22_20x_0)</f>
        <v>34896.58</v>
      </c>
      <c r="E215" s="1"/>
      <c r="F215" s="5">
        <f t="shared" ref="F215:F220" si="94">IF(D$12=0,0,D215/D$12)</f>
        <v>1.3798518189676522E-2</v>
      </c>
      <c r="G215" s="1"/>
      <c r="H215" s="1">
        <f>SUM(OSRRefH22_20x_0)</f>
        <v>22877.25</v>
      </c>
      <c r="I215" s="1"/>
      <c r="J215" s="5">
        <f t="shared" ref="J215:J220" si="95">IF(H$12=0,0,H215/H$12)</f>
        <v>3.363408436186538E-2</v>
      </c>
      <c r="K215" s="1"/>
      <c r="L215" s="1">
        <f t="shared" ref="L215:L220" si="96">+D215-H215</f>
        <v>12019.330000000002</v>
      </c>
      <c r="M215" s="1"/>
      <c r="N215" s="5">
        <f t="shared" ref="N215:N220" si="97">IF(H215=0,0,L215/H215)</f>
        <v>0.52538351418986118</v>
      </c>
      <c r="O215" s="14"/>
      <c r="P215" s="1">
        <f>SUM(OSRRefP22_20x_0)</f>
        <v>133446.32</v>
      </c>
      <c r="Q215" s="1"/>
      <c r="R215" s="5">
        <f t="shared" ref="R215:R220" si="98">IF(P$12=0,0,P215/P$12)</f>
        <v>1.6953541715524576E-2</v>
      </c>
      <c r="S215" s="1"/>
      <c r="T215" s="1">
        <f>SUM(OSRRefT22_20x_0)</f>
        <v>72461.569999999992</v>
      </c>
      <c r="U215" s="1"/>
      <c r="V215" s="5">
        <f t="shared" ref="V215:V220" si="99">IF(T$12=0,0,T215/T$12)</f>
        <v>1.6994289981307305E-2</v>
      </c>
      <c r="W215" s="1"/>
      <c r="X215" s="1">
        <f t="shared" ref="X215:X220" si="100">+P215-T215</f>
        <v>60984.750000000015</v>
      </c>
      <c r="Y215" s="1"/>
      <c r="Z215" s="5">
        <f t="shared" ref="Z215:Z220" si="101">IF(T215=0,0,X215/T215)</f>
        <v>0.84161507955182346</v>
      </c>
    </row>
    <row r="216" spans="1:26" s="24" customFormat="1" hidden="1" outlineLevel="2" x14ac:dyDescent="0.25">
      <c r="A216" s="29"/>
      <c r="B216" s="11" t="str">
        <f>CONCATENATE("          ", "6282", " - ", "JANITORIAL/EXTERMINATOR EXPENS")</f>
        <v xml:space="preserve">          6282 - JANITORIAL/EXTERMINATOR EXPENS</v>
      </c>
      <c r="C216" s="11"/>
      <c r="D216" s="6">
        <v>6099.35</v>
      </c>
      <c r="E216" s="2"/>
      <c r="F216" s="7">
        <f t="shared" si="94"/>
        <v>2.4117547312717609E-3</v>
      </c>
      <c r="G216" s="2"/>
      <c r="H216" s="6">
        <v>7486.36</v>
      </c>
      <c r="I216" s="2"/>
      <c r="J216" s="7">
        <f t="shared" si="95"/>
        <v>1.1006430572000327E-2</v>
      </c>
      <c r="K216" s="2"/>
      <c r="L216" s="6">
        <f t="shared" si="96"/>
        <v>-1387.0099999999993</v>
      </c>
      <c r="M216" s="2"/>
      <c r="N216" s="7">
        <f t="shared" si="97"/>
        <v>-0.18527161397528297</v>
      </c>
      <c r="O216" s="11"/>
      <c r="P216" s="6">
        <v>14846.98</v>
      </c>
      <c r="Q216" s="2"/>
      <c r="R216" s="7">
        <f t="shared" si="98"/>
        <v>1.8862183294343303E-3</v>
      </c>
      <c r="S216" s="2"/>
      <c r="T216" s="6">
        <v>10414.120000000001</v>
      </c>
      <c r="U216" s="2"/>
      <c r="V216" s="7">
        <f t="shared" si="99"/>
        <v>2.4424060254301977E-3</v>
      </c>
      <c r="W216" s="2"/>
      <c r="X216" s="6">
        <f t="shared" si="100"/>
        <v>4432.8599999999988</v>
      </c>
      <c r="Y216" s="2"/>
      <c r="Z216" s="7">
        <f t="shared" si="101"/>
        <v>0.42565862502064489</v>
      </c>
    </row>
    <row r="217" spans="1:26" s="24" customFormat="1" hidden="1" outlineLevel="2" x14ac:dyDescent="0.25">
      <c r="A217" s="29"/>
      <c r="B217" s="11" t="str">
        <f>CONCATENATE("          ", "6283", " - ", "PLANT SERVICE")</f>
        <v xml:space="preserve">          6283 - PLANT SERVICE</v>
      </c>
      <c r="C217" s="11"/>
      <c r="D217" s="6"/>
      <c r="E217" s="2"/>
      <c r="F217" s="7">
        <f t="shared" si="94"/>
        <v>0</v>
      </c>
      <c r="G217" s="2"/>
      <c r="H217" s="6"/>
      <c r="I217" s="2"/>
      <c r="J217" s="7">
        <f t="shared" si="95"/>
        <v>0</v>
      </c>
      <c r="K217" s="2"/>
      <c r="L217" s="6">
        <f t="shared" si="96"/>
        <v>0</v>
      </c>
      <c r="M217" s="2"/>
      <c r="N217" s="7">
        <f t="shared" si="97"/>
        <v>0</v>
      </c>
      <c r="O217" s="11"/>
      <c r="P217" s="6"/>
      <c r="Q217" s="2"/>
      <c r="R217" s="7">
        <f t="shared" si="98"/>
        <v>0</v>
      </c>
      <c r="S217" s="2"/>
      <c r="T217" s="6">
        <v>130</v>
      </c>
      <c r="U217" s="2"/>
      <c r="V217" s="7">
        <f t="shared" si="99"/>
        <v>3.0488681070116889E-5</v>
      </c>
      <c r="W217" s="2"/>
      <c r="X217" s="6">
        <f t="shared" si="100"/>
        <v>-130</v>
      </c>
      <c r="Y217" s="2"/>
      <c r="Z217" s="7">
        <f t="shared" si="101"/>
        <v>-1</v>
      </c>
    </row>
    <row r="218" spans="1:26" s="24" customFormat="1" hidden="1" outlineLevel="2" x14ac:dyDescent="0.25">
      <c r="A218" s="29"/>
      <c r="B218" s="11" t="str">
        <f>CONCATENATE("          ", "6284", " - ", "TRASH REMOVAL EXPENSE")</f>
        <v xml:space="preserve">          6284 - TRASH REMOVAL EXPENSE</v>
      </c>
      <c r="C218" s="11"/>
      <c r="D218" s="6">
        <v>149.69999999999999</v>
      </c>
      <c r="E218" s="2"/>
      <c r="F218" s="7">
        <f t="shared" si="94"/>
        <v>5.9193140788999241E-5</v>
      </c>
      <c r="G218" s="2"/>
      <c r="H218" s="6">
        <v>5526.59</v>
      </c>
      <c r="I218" s="2"/>
      <c r="J218" s="7">
        <f t="shared" si="95"/>
        <v>8.1251808802824451E-3</v>
      </c>
      <c r="K218" s="2"/>
      <c r="L218" s="6">
        <f t="shared" si="96"/>
        <v>-5376.89</v>
      </c>
      <c r="M218" s="2"/>
      <c r="N218" s="7">
        <f t="shared" si="97"/>
        <v>-0.97291277261385412</v>
      </c>
      <c r="O218" s="11"/>
      <c r="P218" s="6">
        <v>591.66999999999996</v>
      </c>
      <c r="Q218" s="2"/>
      <c r="R218" s="7">
        <f t="shared" si="98"/>
        <v>7.5168067780545956E-5</v>
      </c>
      <c r="S218" s="2"/>
      <c r="T218" s="6">
        <v>8715.2999999999993</v>
      </c>
      <c r="U218" s="2"/>
      <c r="V218" s="7">
        <f t="shared" si="99"/>
        <v>2.0439846317722287E-3</v>
      </c>
      <c r="W218" s="2"/>
      <c r="X218" s="6">
        <f t="shared" si="100"/>
        <v>-8123.6299999999992</v>
      </c>
      <c r="Y218" s="2"/>
      <c r="Z218" s="7">
        <f t="shared" si="101"/>
        <v>-0.93211134441728916</v>
      </c>
    </row>
    <row r="219" spans="1:26" s="24" customFormat="1" hidden="1" outlineLevel="2" x14ac:dyDescent="0.25">
      <c r="A219" s="29"/>
      <c r="B219" s="11" t="str">
        <f>CONCATENATE("          ", "6285", " - ", "JANITORIAL SERVICES")</f>
        <v xml:space="preserve">          6285 - JANITORIAL SERVICES</v>
      </c>
      <c r="C219" s="11"/>
      <c r="D219" s="6">
        <v>21211.46</v>
      </c>
      <c r="E219" s="2"/>
      <c r="F219" s="7">
        <f t="shared" si="94"/>
        <v>8.387260775686212E-3</v>
      </c>
      <c r="G219" s="2"/>
      <c r="H219" s="6">
        <v>7831.3</v>
      </c>
      <c r="I219" s="2"/>
      <c r="J219" s="7">
        <f t="shared" si="95"/>
        <v>1.1513560627395178E-2</v>
      </c>
      <c r="K219" s="2"/>
      <c r="L219" s="6">
        <f t="shared" si="96"/>
        <v>13380.16</v>
      </c>
      <c r="M219" s="2"/>
      <c r="N219" s="7">
        <f t="shared" si="97"/>
        <v>1.7085490276199353</v>
      </c>
      <c r="O219" s="11"/>
      <c r="P219" s="6">
        <v>105504.55</v>
      </c>
      <c r="Q219" s="2"/>
      <c r="R219" s="7">
        <f t="shared" si="98"/>
        <v>1.3403710118065815E-2</v>
      </c>
      <c r="S219" s="2"/>
      <c r="T219" s="6">
        <v>45209.279999999999</v>
      </c>
      <c r="U219" s="2"/>
      <c r="V219" s="7">
        <f t="shared" si="99"/>
        <v>1.0602856302535492E-2</v>
      </c>
      <c r="W219" s="2"/>
      <c r="X219" s="6">
        <f t="shared" si="100"/>
        <v>60295.270000000004</v>
      </c>
      <c r="Y219" s="2"/>
      <c r="Z219" s="7">
        <f t="shared" si="101"/>
        <v>1.3336923304241963</v>
      </c>
    </row>
    <row r="220" spans="1:26" s="24" customFormat="1" hidden="1" outlineLevel="2" x14ac:dyDescent="0.25">
      <c r="A220" s="29"/>
      <c r="B220" s="11" t="str">
        <f>CONCATENATE("          ", "6286", " - ", "LAUNDRY EXPENSE")</f>
        <v xml:space="preserve">          6286 - LAUNDRY EXPENSE</v>
      </c>
      <c r="C220" s="11"/>
      <c r="D220" s="6">
        <v>7436.07</v>
      </c>
      <c r="E220" s="2"/>
      <c r="F220" s="7">
        <f t="shared" si="94"/>
        <v>2.9403095419295497E-3</v>
      </c>
      <c r="G220" s="2"/>
      <c r="H220" s="6">
        <v>2033</v>
      </c>
      <c r="I220" s="2"/>
      <c r="J220" s="7">
        <f t="shared" si="95"/>
        <v>2.9889122821874269E-3</v>
      </c>
      <c r="K220" s="2"/>
      <c r="L220" s="6">
        <f t="shared" si="96"/>
        <v>5403.07</v>
      </c>
      <c r="M220" s="2"/>
      <c r="N220" s="7">
        <f t="shared" si="97"/>
        <v>2.6576832267584849</v>
      </c>
      <c r="O220" s="11"/>
      <c r="P220" s="6">
        <v>12503.12</v>
      </c>
      <c r="Q220" s="2"/>
      <c r="R220" s="7">
        <f t="shared" si="98"/>
        <v>1.5884452002438857E-3</v>
      </c>
      <c r="S220" s="2"/>
      <c r="T220" s="6">
        <v>7992.87</v>
      </c>
      <c r="U220" s="2"/>
      <c r="V220" s="7">
        <f t="shared" si="99"/>
        <v>1.8745543404992706E-3</v>
      </c>
      <c r="W220" s="2"/>
      <c r="X220" s="6">
        <f t="shared" si="100"/>
        <v>4510.2500000000009</v>
      </c>
      <c r="Y220" s="2"/>
      <c r="Z220" s="7">
        <f t="shared" si="101"/>
        <v>0.5642841682649663</v>
      </c>
    </row>
    <row r="221" spans="1:26" s="28" customFormat="1" outlineLevel="1" collapsed="1" x14ac:dyDescent="0.25">
      <c r="A221" s="27"/>
      <c r="B221" s="14" t="str">
        <f>CONCATENATE("     ","Subscriptions &amp; Dues                              ")</f>
        <v xml:space="preserve">     Subscriptions &amp; Dues                              </v>
      </c>
      <c r="C221" s="14"/>
      <c r="D221" s="1">
        <f>SUM(OSRRefD22_21x_0)</f>
        <v>1717.8899999999999</v>
      </c>
      <c r="E221" s="1"/>
      <c r="F221" s="5">
        <f t="shared" ref="F221:F223" si="102">IF(D$12=0,0,D221/D$12)</f>
        <v>6.7927391202414098E-4</v>
      </c>
      <c r="G221" s="1"/>
      <c r="H221" s="1">
        <f>SUM(OSRRefH22_21x_0)</f>
        <v>995.99</v>
      </c>
      <c r="I221" s="1"/>
      <c r="J221" s="5">
        <f t="shared" ref="J221:J223" si="103">IF(H$12=0,0,H221/H$12)</f>
        <v>1.4643023826541343E-3</v>
      </c>
      <c r="K221" s="1"/>
      <c r="L221" s="1">
        <f t="shared" ref="L221:L223" si="104">+D221-H221</f>
        <v>721.89999999999986</v>
      </c>
      <c r="M221" s="1"/>
      <c r="N221" s="5">
        <f t="shared" ref="N221:N223" si="105">IF(H221=0,0,L221/H221)</f>
        <v>0.72480647396058184</v>
      </c>
      <c r="O221" s="14"/>
      <c r="P221" s="1">
        <f>SUM(OSRRefP22_21x_0)</f>
        <v>2903.84</v>
      </c>
      <c r="Q221" s="1"/>
      <c r="R221" s="5">
        <f t="shared" ref="R221:R223" si="106">IF(P$12=0,0,P221/P$12)</f>
        <v>3.6891517559426806E-4</v>
      </c>
      <c r="S221" s="1"/>
      <c r="T221" s="1">
        <f>SUM(OSRRefT22_21x_0)</f>
        <v>1920.4199999999998</v>
      </c>
      <c r="U221" s="1"/>
      <c r="V221" s="5">
        <f t="shared" ref="V221:V223" si="107">IF(T$12=0,0,T221/T$12)</f>
        <v>4.5039286846672207E-4</v>
      </c>
      <c r="W221" s="1"/>
      <c r="X221" s="1">
        <f t="shared" ref="X221:X223" si="108">+P221-T221</f>
        <v>983.4200000000003</v>
      </c>
      <c r="Y221" s="1"/>
      <c r="Z221" s="5">
        <f t="shared" ref="Z221:Z223" si="109">IF(T221=0,0,X221/T221)</f>
        <v>0.51208589787650638</v>
      </c>
    </row>
    <row r="222" spans="1:26" s="24" customFormat="1" hidden="1" outlineLevel="2" x14ac:dyDescent="0.25">
      <c r="A222" s="29"/>
      <c r="B222" s="11" t="str">
        <f>CONCATENATE("          ", "6258", " - ", "MEMBERSHIP DUES")</f>
        <v xml:space="preserve">          6258 - MEMBERSHIP DUES</v>
      </c>
      <c r="C222" s="11"/>
      <c r="D222" s="6">
        <v>904.08</v>
      </c>
      <c r="E222" s="2"/>
      <c r="F222" s="7">
        <f t="shared" si="102"/>
        <v>3.574838658952468E-4</v>
      </c>
      <c r="G222" s="2"/>
      <c r="H222" s="6">
        <v>790.32</v>
      </c>
      <c r="I222" s="2"/>
      <c r="J222" s="7">
        <f t="shared" si="103"/>
        <v>1.1619267854689459E-3</v>
      </c>
      <c r="K222" s="2"/>
      <c r="L222" s="6">
        <f t="shared" si="104"/>
        <v>113.75999999999999</v>
      </c>
      <c r="M222" s="2"/>
      <c r="N222" s="7">
        <f t="shared" si="105"/>
        <v>0.14394169450349223</v>
      </c>
      <c r="O222" s="11"/>
      <c r="P222" s="6">
        <v>956.84</v>
      </c>
      <c r="Q222" s="2"/>
      <c r="R222" s="7">
        <f t="shared" si="106"/>
        <v>1.215606908836642E-4</v>
      </c>
      <c r="S222" s="2"/>
      <c r="T222" s="6">
        <v>1423.36</v>
      </c>
      <c r="U222" s="2"/>
      <c r="V222" s="7">
        <f t="shared" si="107"/>
        <v>3.3381822375355057E-4</v>
      </c>
      <c r="W222" s="2"/>
      <c r="X222" s="6">
        <f t="shared" si="108"/>
        <v>-466.51999999999987</v>
      </c>
      <c r="Y222" s="2"/>
      <c r="Z222" s="7">
        <f t="shared" si="109"/>
        <v>-0.32775966726618699</v>
      </c>
    </row>
    <row r="223" spans="1:26" s="24" customFormat="1" hidden="1" outlineLevel="2" x14ac:dyDescent="0.25">
      <c r="A223" s="29"/>
      <c r="B223" s="11" t="str">
        <f>CONCATENATE("          ", "6275", " - ", "SUBSCRIPTIONS")</f>
        <v xml:space="preserve">          6275 - SUBSCRIPTIONS</v>
      </c>
      <c r="C223" s="11"/>
      <c r="D223" s="6">
        <v>813.81</v>
      </c>
      <c r="E223" s="2"/>
      <c r="F223" s="7">
        <f t="shared" si="102"/>
        <v>3.2179004612889429E-4</v>
      </c>
      <c r="G223" s="2"/>
      <c r="H223" s="6">
        <v>205.67</v>
      </c>
      <c r="I223" s="2"/>
      <c r="J223" s="7">
        <f t="shared" si="103"/>
        <v>3.0237559718518842E-4</v>
      </c>
      <c r="K223" s="2"/>
      <c r="L223" s="6">
        <f t="shared" si="104"/>
        <v>608.14</v>
      </c>
      <c r="M223" s="2"/>
      <c r="N223" s="7">
        <f t="shared" si="105"/>
        <v>2.9568726600865465</v>
      </c>
      <c r="O223" s="11"/>
      <c r="P223" s="6">
        <v>1947</v>
      </c>
      <c r="Q223" s="2"/>
      <c r="R223" s="7">
        <f t="shared" si="106"/>
        <v>2.4735448471060382E-4</v>
      </c>
      <c r="S223" s="2"/>
      <c r="T223" s="6">
        <v>497.06</v>
      </c>
      <c r="U223" s="2"/>
      <c r="V223" s="7">
        <f t="shared" si="107"/>
        <v>1.1657464471317155E-4</v>
      </c>
      <c r="W223" s="2"/>
      <c r="X223" s="6">
        <f t="shared" si="108"/>
        <v>1449.94</v>
      </c>
      <c r="Y223" s="2"/>
      <c r="Z223" s="7">
        <f t="shared" si="109"/>
        <v>2.9170321490363338</v>
      </c>
    </row>
    <row r="224" spans="1:26" s="28" customFormat="1" outlineLevel="1" collapsed="1" x14ac:dyDescent="0.25">
      <c r="A224" s="27"/>
      <c r="B224" s="14" t="str">
        <f>CONCATENATE("     ","Supplies                                          ")</f>
        <v xml:space="preserve">     Supplies                                          </v>
      </c>
      <c r="C224" s="14"/>
      <c r="D224" s="1">
        <f>SUM(OSRRefD22_22x_0)</f>
        <v>117629.37999999998</v>
      </c>
      <c r="E224" s="1"/>
      <c r="F224" s="5">
        <f t="shared" ref="F224:F233" si="110">IF(D$12=0,0,D224/D$12)</f>
        <v>4.6512040422596462E-2</v>
      </c>
      <c r="G224" s="1"/>
      <c r="H224" s="1">
        <f>SUM(OSRRefH22_22x_0)</f>
        <v>55339.390000000007</v>
      </c>
      <c r="I224" s="1"/>
      <c r="J224" s="5">
        <f t="shared" ref="J224:J233" si="111">IF(H$12=0,0,H224/H$12)</f>
        <v>8.1359853644741797E-2</v>
      </c>
      <c r="K224" s="1"/>
      <c r="L224" s="1">
        <f t="shared" ref="L224:L233" si="112">+D224-H224</f>
        <v>62289.989999999969</v>
      </c>
      <c r="M224" s="1"/>
      <c r="N224" s="5">
        <f t="shared" ref="N224:N233" si="113">IF(H224=0,0,L224/H224)</f>
        <v>1.1255995051625969</v>
      </c>
      <c r="O224" s="14"/>
      <c r="P224" s="1">
        <f>SUM(OSRRefP22_22x_0)</f>
        <v>235854.81</v>
      </c>
      <c r="Q224" s="1"/>
      <c r="R224" s="5">
        <f t="shared" ref="R224:R233" si="114">IF(P$12=0,0,P224/P$12)</f>
        <v>2.9963916278411596E-2</v>
      </c>
      <c r="S224" s="1"/>
      <c r="T224" s="1">
        <f>SUM(OSRRefT22_22x_0)</f>
        <v>133459.46</v>
      </c>
      <c r="U224" s="1"/>
      <c r="V224" s="5">
        <f t="shared" ref="V224:V233" si="115">IF(T$12=0,0,T224/T$12)</f>
        <v>3.1300022397923247E-2</v>
      </c>
      <c r="W224" s="1"/>
      <c r="X224" s="1">
        <f t="shared" ref="X224:X233" si="116">+P224-T224</f>
        <v>102395.35</v>
      </c>
      <c r="Y224" s="1"/>
      <c r="Z224" s="5">
        <f t="shared" ref="Z224:Z233" si="117">IF(T224=0,0,X224/T224)</f>
        <v>0.76723935493220197</v>
      </c>
    </row>
    <row r="225" spans="1:26" s="24" customFormat="1" hidden="1" outlineLevel="2" x14ac:dyDescent="0.25">
      <c r="A225" s="29"/>
      <c r="B225" s="11" t="str">
        <f>CONCATENATE("          ", "6234", " - ", "EXPENDABLE SUPPLIES &amp; EQUIPMEN")</f>
        <v xml:space="preserve">          6234 - EXPENDABLE SUPPLIES &amp; EQUIPMEN</v>
      </c>
      <c r="C225" s="11"/>
      <c r="D225" s="6">
        <v>3737.3</v>
      </c>
      <c r="E225" s="2"/>
      <c r="F225" s="7">
        <f t="shared" si="110"/>
        <v>1.47777237856197E-3</v>
      </c>
      <c r="G225" s="2"/>
      <c r="H225" s="6">
        <v>156.47</v>
      </c>
      <c r="I225" s="2"/>
      <c r="J225" s="7">
        <f t="shared" si="111"/>
        <v>2.300418616792261E-4</v>
      </c>
      <c r="K225" s="2"/>
      <c r="L225" s="6">
        <f t="shared" si="112"/>
        <v>3580.8300000000004</v>
      </c>
      <c r="M225" s="2"/>
      <c r="N225" s="7">
        <f t="shared" si="113"/>
        <v>22.885089793570653</v>
      </c>
      <c r="O225" s="11"/>
      <c r="P225" s="6">
        <v>3759.28</v>
      </c>
      <c r="Q225" s="2"/>
      <c r="R225" s="7">
        <f t="shared" si="114"/>
        <v>4.7759361442366663E-4</v>
      </c>
      <c r="S225" s="2"/>
      <c r="T225" s="6">
        <v>728.92</v>
      </c>
      <c r="U225" s="2"/>
      <c r="V225" s="7">
        <f t="shared" si="115"/>
        <v>1.7095238004330462E-4</v>
      </c>
      <c r="W225" s="2"/>
      <c r="X225" s="6">
        <f t="shared" si="116"/>
        <v>3030.36</v>
      </c>
      <c r="Y225" s="2"/>
      <c r="Z225" s="7">
        <f t="shared" si="117"/>
        <v>4.1573286506063774</v>
      </c>
    </row>
    <row r="226" spans="1:26" s="24" customFormat="1" hidden="1" outlineLevel="2" x14ac:dyDescent="0.25">
      <c r="A226" s="29"/>
      <c r="B226" s="11" t="str">
        <f>CONCATENATE("          ", "6235", " - ", "COVID-19 EXPENSES")</f>
        <v xml:space="preserve">          6235 - COVID-19 EXPENSES</v>
      </c>
      <c r="C226" s="11"/>
      <c r="D226" s="6"/>
      <c r="E226" s="2"/>
      <c r="F226" s="7">
        <f t="shared" si="110"/>
        <v>0</v>
      </c>
      <c r="G226" s="2"/>
      <c r="H226" s="6">
        <v>36232.67</v>
      </c>
      <c r="I226" s="2"/>
      <c r="J226" s="7">
        <f t="shared" si="111"/>
        <v>5.3269194480788935E-2</v>
      </c>
      <c r="K226" s="2"/>
      <c r="L226" s="6">
        <f t="shared" si="112"/>
        <v>-36232.67</v>
      </c>
      <c r="M226" s="2"/>
      <c r="N226" s="7">
        <f t="shared" si="113"/>
        <v>-1</v>
      </c>
      <c r="O226" s="11"/>
      <c r="P226" s="6">
        <v>3623.82</v>
      </c>
      <c r="Q226" s="2"/>
      <c r="R226" s="7">
        <f t="shared" si="114"/>
        <v>4.6038424693578865E-4</v>
      </c>
      <c r="S226" s="2"/>
      <c r="T226" s="6">
        <v>64743.69</v>
      </c>
      <c r="U226" s="2"/>
      <c r="V226" s="7">
        <f t="shared" si="115"/>
        <v>1.5184228582403972E-2</v>
      </c>
      <c r="W226" s="2"/>
      <c r="X226" s="6">
        <f t="shared" si="116"/>
        <v>-61119.87</v>
      </c>
      <c r="Y226" s="2"/>
      <c r="Z226" s="7">
        <f t="shared" si="117"/>
        <v>-0.94402821340581611</v>
      </c>
    </row>
    <row r="227" spans="1:26" s="24" customFormat="1" hidden="1" outlineLevel="2" x14ac:dyDescent="0.25">
      <c r="A227" s="29"/>
      <c r="B227" s="11" t="str">
        <f>CONCATENATE("          ", "6237", " - ", "JANITORIAL SUPPLIES")</f>
        <v xml:space="preserve">          6237 - JANITORIAL SUPPLIES</v>
      </c>
      <c r="C227" s="11"/>
      <c r="D227" s="6">
        <v>7075.92</v>
      </c>
      <c r="E227" s="2"/>
      <c r="F227" s="7">
        <f t="shared" si="110"/>
        <v>2.7979019958029095E-3</v>
      </c>
      <c r="G227" s="2"/>
      <c r="H227" s="6">
        <v>3175.55</v>
      </c>
      <c r="I227" s="2"/>
      <c r="J227" s="7">
        <f t="shared" si="111"/>
        <v>4.6686868655682655E-3</v>
      </c>
      <c r="K227" s="2"/>
      <c r="L227" s="6">
        <f t="shared" si="112"/>
        <v>3900.37</v>
      </c>
      <c r="M227" s="2"/>
      <c r="N227" s="7">
        <f t="shared" si="113"/>
        <v>1.2282502243705813</v>
      </c>
      <c r="O227" s="11"/>
      <c r="P227" s="6">
        <v>31354.86</v>
      </c>
      <c r="Q227" s="2"/>
      <c r="R227" s="7">
        <f t="shared" si="114"/>
        <v>3.983443882112545E-3</v>
      </c>
      <c r="S227" s="2"/>
      <c r="T227" s="6">
        <v>9726.14</v>
      </c>
      <c r="U227" s="2"/>
      <c r="V227" s="7">
        <f t="shared" si="115"/>
        <v>2.2810552346408204E-3</v>
      </c>
      <c r="W227" s="2"/>
      <c r="X227" s="6">
        <f t="shared" si="116"/>
        <v>21628.720000000001</v>
      </c>
      <c r="Y227" s="2"/>
      <c r="Z227" s="7">
        <f t="shared" si="117"/>
        <v>2.2237722261863393</v>
      </c>
    </row>
    <row r="228" spans="1:26" s="24" customFormat="1" hidden="1" outlineLevel="2" x14ac:dyDescent="0.25">
      <c r="A228" s="29"/>
      <c r="B228" s="11" t="str">
        <f>CONCATENATE("          ", "6239", " - ", "KITCHEN SUPPLIES")</f>
        <v xml:space="preserve">          6239 - KITCHEN SUPPLIES</v>
      </c>
      <c r="C228" s="11"/>
      <c r="D228" s="6">
        <v>10993.74</v>
      </c>
      <c r="E228" s="2"/>
      <c r="F228" s="7">
        <f t="shared" si="110"/>
        <v>4.3470541056623421E-3</v>
      </c>
      <c r="G228" s="2"/>
      <c r="H228" s="6">
        <v>1264.19</v>
      </c>
      <c r="I228" s="2"/>
      <c r="J228" s="7">
        <f t="shared" si="111"/>
        <v>1.8586094530341974E-3</v>
      </c>
      <c r="K228" s="2"/>
      <c r="L228" s="6">
        <f t="shared" si="112"/>
        <v>9729.5499999999993</v>
      </c>
      <c r="M228" s="2"/>
      <c r="N228" s="7">
        <f t="shared" si="113"/>
        <v>7.6962719211510917</v>
      </c>
      <c r="O228" s="11"/>
      <c r="P228" s="6">
        <v>25113.62</v>
      </c>
      <c r="Q228" s="2"/>
      <c r="R228" s="7">
        <f t="shared" si="114"/>
        <v>3.1905323750990831E-3</v>
      </c>
      <c r="S228" s="2"/>
      <c r="T228" s="6">
        <v>4191.51</v>
      </c>
      <c r="U228" s="2"/>
      <c r="V228" s="7">
        <f t="shared" si="115"/>
        <v>9.8302778147850499E-4</v>
      </c>
      <c r="W228" s="2"/>
      <c r="X228" s="6">
        <f t="shared" si="116"/>
        <v>20922.11</v>
      </c>
      <c r="Y228" s="2"/>
      <c r="Z228" s="7">
        <f t="shared" si="117"/>
        <v>4.9915448132057421</v>
      </c>
    </row>
    <row r="229" spans="1:26" s="24" customFormat="1" hidden="1" outlineLevel="2" x14ac:dyDescent="0.25">
      <c r="A229" s="29"/>
      <c r="B229" s="11" t="str">
        <f>CONCATENATE("          ", "6241", " - ", "OFFICE EXPENSE")</f>
        <v xml:space="preserve">          6241 - OFFICE EXPENSE</v>
      </c>
      <c r="C229" s="11"/>
      <c r="D229" s="6">
        <v>22884.22</v>
      </c>
      <c r="E229" s="2"/>
      <c r="F229" s="7">
        <f t="shared" si="110"/>
        <v>9.0486897548859874E-3</v>
      </c>
      <c r="G229" s="2"/>
      <c r="H229" s="6">
        <v>6973.77</v>
      </c>
      <c r="I229" s="2"/>
      <c r="J229" s="7">
        <f t="shared" si="111"/>
        <v>1.0252821842671034E-2</v>
      </c>
      <c r="K229" s="2"/>
      <c r="L229" s="6">
        <f t="shared" si="112"/>
        <v>15910.45</v>
      </c>
      <c r="M229" s="2"/>
      <c r="N229" s="7">
        <f t="shared" si="113"/>
        <v>2.2814704241751591</v>
      </c>
      <c r="O229" s="11"/>
      <c r="P229" s="6">
        <v>39578.19</v>
      </c>
      <c r="Q229" s="2"/>
      <c r="R229" s="7">
        <f t="shared" si="114"/>
        <v>5.0281678444932584E-3</v>
      </c>
      <c r="S229" s="2"/>
      <c r="T229" s="6">
        <v>22300.66</v>
      </c>
      <c r="U229" s="2"/>
      <c r="V229" s="7">
        <f t="shared" si="115"/>
        <v>5.2301362337931765E-3</v>
      </c>
      <c r="W229" s="2"/>
      <c r="X229" s="6">
        <f t="shared" si="116"/>
        <v>17277.530000000002</v>
      </c>
      <c r="Y229" s="2"/>
      <c r="Z229" s="7">
        <f t="shared" si="117"/>
        <v>0.77475420009990748</v>
      </c>
    </row>
    <row r="230" spans="1:26" s="24" customFormat="1" hidden="1" outlineLevel="2" x14ac:dyDescent="0.25">
      <c r="A230" s="29"/>
      <c r="B230" s="11" t="str">
        <f>CONCATENATE("          ", "6243", " - ", "PAPER SUPPLIES")</f>
        <v xml:space="preserve">          6243 - PAPER SUPPLIES</v>
      </c>
      <c r="C230" s="11"/>
      <c r="D230" s="6">
        <v>58972.06</v>
      </c>
      <c r="E230" s="2"/>
      <c r="F230" s="7">
        <f t="shared" si="110"/>
        <v>2.3318246160302678E-2</v>
      </c>
      <c r="G230" s="2"/>
      <c r="H230" s="6">
        <v>3081.65</v>
      </c>
      <c r="I230" s="2"/>
      <c r="J230" s="7">
        <f t="shared" si="111"/>
        <v>4.5306352849989592E-3</v>
      </c>
      <c r="K230" s="2"/>
      <c r="L230" s="6">
        <f t="shared" si="112"/>
        <v>55890.409999999996</v>
      </c>
      <c r="M230" s="2"/>
      <c r="N230" s="7">
        <f t="shared" si="113"/>
        <v>18.136521019583665</v>
      </c>
      <c r="O230" s="11"/>
      <c r="P230" s="6">
        <v>101799.47</v>
      </c>
      <c r="Q230" s="2"/>
      <c r="R230" s="7">
        <f t="shared" si="114"/>
        <v>1.2933002283339792E-2</v>
      </c>
      <c r="S230" s="2"/>
      <c r="T230" s="6">
        <v>9866.51</v>
      </c>
      <c r="U230" s="2"/>
      <c r="V230" s="7">
        <f t="shared" si="115"/>
        <v>2.3139759743470694E-3</v>
      </c>
      <c r="W230" s="2"/>
      <c r="X230" s="6">
        <f t="shared" si="116"/>
        <v>91932.96</v>
      </c>
      <c r="Y230" s="2"/>
      <c r="Z230" s="7">
        <f t="shared" si="117"/>
        <v>9.3176776793415304</v>
      </c>
    </row>
    <row r="231" spans="1:26" s="24" customFormat="1" hidden="1" outlineLevel="2" x14ac:dyDescent="0.25">
      <c r="A231" s="29"/>
      <c r="B231" s="11" t="str">
        <f>CONCATENATE("          ", "6245", " - ", "PRINTING")</f>
        <v xml:space="preserve">          6245 - PRINTING</v>
      </c>
      <c r="C231" s="11"/>
      <c r="D231" s="6">
        <v>1367.68</v>
      </c>
      <c r="E231" s="2"/>
      <c r="F231" s="7">
        <f t="shared" si="110"/>
        <v>5.4079675881294918E-4</v>
      </c>
      <c r="G231" s="2"/>
      <c r="H231" s="6">
        <v>353.09</v>
      </c>
      <c r="I231" s="2"/>
      <c r="J231" s="7">
        <f t="shared" si="111"/>
        <v>5.1911216808537056E-4</v>
      </c>
      <c r="K231" s="2"/>
      <c r="L231" s="6">
        <f t="shared" si="112"/>
        <v>1014.5900000000001</v>
      </c>
      <c r="M231" s="2"/>
      <c r="N231" s="7">
        <f t="shared" si="113"/>
        <v>2.873460024356397</v>
      </c>
      <c r="O231" s="11"/>
      <c r="P231" s="6">
        <v>1043.93</v>
      </c>
      <c r="Q231" s="2"/>
      <c r="R231" s="7">
        <f t="shared" si="114"/>
        <v>1.3262494464506456E-4</v>
      </c>
      <c r="S231" s="2"/>
      <c r="T231" s="6">
        <v>414.55</v>
      </c>
      <c r="U231" s="2"/>
      <c r="V231" s="7">
        <f t="shared" si="115"/>
        <v>9.7223713366284285E-5</v>
      </c>
      <c r="W231" s="2"/>
      <c r="X231" s="6">
        <f t="shared" si="116"/>
        <v>629.38000000000011</v>
      </c>
      <c r="Y231" s="2"/>
      <c r="Z231" s="7">
        <f t="shared" si="117"/>
        <v>1.5182245808708239</v>
      </c>
    </row>
    <row r="232" spans="1:26" s="24" customFormat="1" hidden="1" outlineLevel="2" x14ac:dyDescent="0.25">
      <c r="A232" s="29"/>
      <c r="B232" s="11" t="str">
        <f>CONCATENATE("          ", "6247", " - ", "STORE SUPPLIES")</f>
        <v xml:space="preserve">          6247 - STORE SUPPLIES</v>
      </c>
      <c r="C232" s="11"/>
      <c r="D232" s="6">
        <v>6987.23</v>
      </c>
      <c r="E232" s="2"/>
      <c r="F232" s="7">
        <f t="shared" si="110"/>
        <v>2.7628329266207027E-3</v>
      </c>
      <c r="G232" s="2"/>
      <c r="H232" s="6">
        <v>4102</v>
      </c>
      <c r="I232" s="2"/>
      <c r="J232" s="7">
        <f t="shared" si="111"/>
        <v>6.0307516879158016E-3</v>
      </c>
      <c r="K232" s="2"/>
      <c r="L232" s="6">
        <f t="shared" si="112"/>
        <v>2885.2299999999996</v>
      </c>
      <c r="M232" s="2"/>
      <c r="N232" s="7">
        <f t="shared" si="113"/>
        <v>0.70337152608483655</v>
      </c>
      <c r="O232" s="11"/>
      <c r="P232" s="6">
        <v>23970.41</v>
      </c>
      <c r="Q232" s="2"/>
      <c r="R232" s="7">
        <f t="shared" si="114"/>
        <v>3.0452945114801777E-3</v>
      </c>
      <c r="S232" s="2"/>
      <c r="T232" s="6">
        <v>17672.8</v>
      </c>
      <c r="U232" s="2"/>
      <c r="V232" s="7">
        <f t="shared" si="115"/>
        <v>4.1447720216612445E-3</v>
      </c>
      <c r="W232" s="2"/>
      <c r="X232" s="6">
        <f t="shared" si="116"/>
        <v>6297.6100000000006</v>
      </c>
      <c r="Y232" s="2"/>
      <c r="Z232" s="7">
        <f t="shared" si="117"/>
        <v>0.35634477841654977</v>
      </c>
    </row>
    <row r="233" spans="1:26" s="24" customFormat="1" hidden="1" outlineLevel="2" x14ac:dyDescent="0.25">
      <c r="A233" s="29"/>
      <c r="B233" s="11" t="str">
        <f>CONCATENATE("          ", "6248", " - ", "UNIFORMS")</f>
        <v xml:space="preserve">          6248 - UNIFORMS</v>
      </c>
      <c r="C233" s="11"/>
      <c r="D233" s="6">
        <v>5611.23</v>
      </c>
      <c r="E233" s="2"/>
      <c r="F233" s="7">
        <f t="shared" si="110"/>
        <v>2.2187463419469353E-3</v>
      </c>
      <c r="G233" s="2"/>
      <c r="H233" s="6"/>
      <c r="I233" s="2"/>
      <c r="J233" s="7">
        <f t="shared" si="111"/>
        <v>0</v>
      </c>
      <c r="K233" s="2"/>
      <c r="L233" s="6">
        <f t="shared" si="112"/>
        <v>5611.23</v>
      </c>
      <c r="M233" s="2"/>
      <c r="N233" s="7">
        <f t="shared" si="113"/>
        <v>0</v>
      </c>
      <c r="O233" s="11"/>
      <c r="P233" s="6">
        <v>5611.23</v>
      </c>
      <c r="Q233" s="2"/>
      <c r="R233" s="7">
        <f t="shared" si="114"/>
        <v>7.1287257588221954E-4</v>
      </c>
      <c r="S233" s="2"/>
      <c r="T233" s="6">
        <v>3814.68</v>
      </c>
      <c r="U233" s="2"/>
      <c r="V233" s="7">
        <f t="shared" si="115"/>
        <v>8.9465047618887304E-4</v>
      </c>
      <c r="W233" s="2"/>
      <c r="X233" s="6">
        <f t="shared" si="116"/>
        <v>1796.5499999999997</v>
      </c>
      <c r="Y233" s="2"/>
      <c r="Z233" s="7">
        <f t="shared" si="117"/>
        <v>0.47095693478876338</v>
      </c>
    </row>
    <row r="234" spans="1:26" s="28" customFormat="1" outlineLevel="1" collapsed="1" x14ac:dyDescent="0.25">
      <c r="A234" s="27"/>
      <c r="B234" s="14" t="str">
        <f>CONCATENATE("     ","Telephone/Data Lines                              ")</f>
        <v xml:space="preserve">     Telephone/Data Lines                              </v>
      </c>
      <c r="C234" s="14"/>
      <c r="D234" s="1">
        <f>SUM(OSRRefD22_23x_0)</f>
        <v>4785.75</v>
      </c>
      <c r="E234" s="1"/>
      <c r="F234" s="5">
        <f t="shared" ref="F234:F236" si="118">IF(D$12=0,0,D234/D$12)</f>
        <v>1.8923418405541292E-3</v>
      </c>
      <c r="G234" s="1"/>
      <c r="H234" s="1">
        <f>SUM(OSRRefH22_23x_0)</f>
        <v>3403.26</v>
      </c>
      <c r="I234" s="1"/>
      <c r="J234" s="5">
        <f t="shared" ref="J234:J236" si="119">IF(H$12=0,0,H234/H$12)</f>
        <v>5.0034656239435231E-3</v>
      </c>
      <c r="K234" s="1"/>
      <c r="L234" s="1">
        <f t="shared" ref="L234:L236" si="120">+D234-H234</f>
        <v>1382.4899999999998</v>
      </c>
      <c r="M234" s="1"/>
      <c r="N234" s="5">
        <f t="shared" ref="N234:N236" si="121">IF(H234=0,0,L234/H234)</f>
        <v>0.40622520759507053</v>
      </c>
      <c r="O234" s="14"/>
      <c r="P234" s="1">
        <f>SUM(OSRRefP22_23x_0)</f>
        <v>15007.85</v>
      </c>
      <c r="Q234" s="1"/>
      <c r="R234" s="5">
        <f t="shared" ref="R234:R236" si="122">IF(P$12=0,0,P234/P$12)</f>
        <v>1.9066558825701263E-3</v>
      </c>
      <c r="S234" s="1"/>
      <c r="T234" s="1">
        <f>SUM(OSRRefT22_23x_0)</f>
        <v>21305.33</v>
      </c>
      <c r="U234" s="1"/>
      <c r="V234" s="5">
        <f t="shared" ref="V234:V236" si="123">IF(T$12=0,0,T234/T$12)</f>
        <v>4.9967031651045653E-3</v>
      </c>
      <c r="W234" s="1"/>
      <c r="X234" s="1">
        <f t="shared" ref="X234:X236" si="124">+P234-T234</f>
        <v>-6297.4800000000014</v>
      </c>
      <c r="Y234" s="1"/>
      <c r="Z234" s="5">
        <f t="shared" ref="Z234:Z236" si="125">IF(T234=0,0,X234/T234)</f>
        <v>-0.29558237304937313</v>
      </c>
    </row>
    <row r="235" spans="1:26" s="24" customFormat="1" hidden="1" outlineLevel="2" x14ac:dyDescent="0.25">
      <c r="A235" s="29"/>
      <c r="B235" s="11" t="str">
        <f>CONCATENATE("          ", "6303", " - ", "DATA PHONE LINES")</f>
        <v xml:space="preserve">          6303 - DATA PHONE LINES</v>
      </c>
      <c r="C235" s="11"/>
      <c r="D235" s="6"/>
      <c r="E235" s="2"/>
      <c r="F235" s="7">
        <f t="shared" si="118"/>
        <v>0</v>
      </c>
      <c r="G235" s="2"/>
      <c r="H235" s="6"/>
      <c r="I235" s="2"/>
      <c r="J235" s="7">
        <f t="shared" si="119"/>
        <v>0</v>
      </c>
      <c r="K235" s="2"/>
      <c r="L235" s="6">
        <f t="shared" si="120"/>
        <v>0</v>
      </c>
      <c r="M235" s="2"/>
      <c r="N235" s="7">
        <f t="shared" si="121"/>
        <v>0</v>
      </c>
      <c r="O235" s="11"/>
      <c r="P235" s="6">
        <v>295</v>
      </c>
      <c r="Q235" s="2"/>
      <c r="R235" s="7">
        <f t="shared" si="122"/>
        <v>3.7477952228879373E-5</v>
      </c>
      <c r="S235" s="2"/>
      <c r="T235" s="6">
        <v>1180</v>
      </c>
      <c r="U235" s="2"/>
      <c r="V235" s="7">
        <f t="shared" si="123"/>
        <v>2.7674341279029178E-4</v>
      </c>
      <c r="W235" s="2"/>
      <c r="X235" s="6">
        <f t="shared" si="124"/>
        <v>-885</v>
      </c>
      <c r="Y235" s="2"/>
      <c r="Z235" s="7">
        <f t="shared" si="125"/>
        <v>-0.75</v>
      </c>
    </row>
    <row r="236" spans="1:26" s="24" customFormat="1" hidden="1" outlineLevel="2" x14ac:dyDescent="0.25">
      <c r="A236" s="29"/>
      <c r="B236" s="11" t="str">
        <f>CONCATENATE("          ", "6309", " - ", "TELEPHONE")</f>
        <v xml:space="preserve">          6309 - TELEPHONE</v>
      </c>
      <c r="C236" s="11"/>
      <c r="D236" s="6">
        <v>4785.75</v>
      </c>
      <c r="E236" s="2"/>
      <c r="F236" s="7">
        <f t="shared" si="118"/>
        <v>1.8923418405541292E-3</v>
      </c>
      <c r="G236" s="2"/>
      <c r="H236" s="6">
        <v>3403.26</v>
      </c>
      <c r="I236" s="2"/>
      <c r="J236" s="7">
        <f t="shared" si="119"/>
        <v>5.0034656239435231E-3</v>
      </c>
      <c r="K236" s="2"/>
      <c r="L236" s="6">
        <f t="shared" si="120"/>
        <v>1382.4899999999998</v>
      </c>
      <c r="M236" s="2"/>
      <c r="N236" s="7">
        <f t="shared" si="121"/>
        <v>0.40622520759507053</v>
      </c>
      <c r="O236" s="11"/>
      <c r="P236" s="6">
        <v>14712.85</v>
      </c>
      <c r="Q236" s="2"/>
      <c r="R236" s="7">
        <f t="shared" si="122"/>
        <v>1.869177930341247E-3</v>
      </c>
      <c r="S236" s="2"/>
      <c r="T236" s="6">
        <v>20125.330000000002</v>
      </c>
      <c r="U236" s="2"/>
      <c r="V236" s="7">
        <f t="shared" si="123"/>
        <v>4.7199597523142735E-3</v>
      </c>
      <c r="W236" s="2"/>
      <c r="X236" s="6">
        <f t="shared" si="124"/>
        <v>-5412.4800000000014</v>
      </c>
      <c r="Y236" s="2"/>
      <c r="Z236" s="7">
        <f t="shared" si="125"/>
        <v>-0.26893869566362394</v>
      </c>
    </row>
    <row r="237" spans="1:26" s="28" customFormat="1" outlineLevel="1" collapsed="1" x14ac:dyDescent="0.25">
      <c r="A237" s="27"/>
      <c r="B237" s="14" t="str">
        <f>CONCATENATE("     ","Training                                          ")</f>
        <v xml:space="preserve">     Training                                          </v>
      </c>
      <c r="C237" s="14"/>
      <c r="D237" s="1">
        <f>SUM(OSRRefD22_24x_0)</f>
        <v>2000</v>
      </c>
      <c r="E237" s="1"/>
      <c r="F237" s="5">
        <f t="shared" ref="F237:F242" si="126">IF(D$12=0,0,D237/D$12)</f>
        <v>7.9082352423512684E-4</v>
      </c>
      <c r="G237" s="1"/>
      <c r="H237" s="1">
        <f>SUM(OSRRefH22_24x_0)</f>
        <v>499</v>
      </c>
      <c r="I237" s="1"/>
      <c r="J237" s="5">
        <f t="shared" ref="J237:J242" si="127">IF(H$12=0,0,H237/H$12)</f>
        <v>7.3362874019258534E-4</v>
      </c>
      <c r="K237" s="1"/>
      <c r="L237" s="1">
        <f t="shared" ref="L237:L242" si="128">+D237-H237</f>
        <v>1501</v>
      </c>
      <c r="M237" s="1"/>
      <c r="N237" s="5">
        <f t="shared" ref="N237:N242" si="129">IF(H237=0,0,L237/H237)</f>
        <v>3.0080160320641283</v>
      </c>
      <c r="O237" s="14"/>
      <c r="P237" s="1">
        <f>SUM(OSRRefP22_24x_0)</f>
        <v>2595</v>
      </c>
      <c r="Q237" s="1"/>
      <c r="R237" s="5">
        <f t="shared" ref="R237:R242" si="130">IF(P$12=0,0,P237/P$12)</f>
        <v>3.2967893570827787E-4</v>
      </c>
      <c r="S237" s="1"/>
      <c r="T237" s="1">
        <f>SUM(OSRRefT22_24x_0)</f>
        <v>980.63</v>
      </c>
      <c r="U237" s="1"/>
      <c r="V237" s="5">
        <f t="shared" ref="V237:V242" si="131">IF(T$12=0,0,T237/T$12)</f>
        <v>2.2998550244452865E-4</v>
      </c>
      <c r="W237" s="1"/>
      <c r="X237" s="1">
        <f t="shared" ref="X237:X242" si="132">+P237-T237</f>
        <v>1614.37</v>
      </c>
      <c r="Y237" s="1"/>
      <c r="Z237" s="5">
        <f t="shared" ref="Z237:Z242" si="133">IF(T237=0,0,X237/T237)</f>
        <v>1.6462580178048805</v>
      </c>
    </row>
    <row r="238" spans="1:26" s="24" customFormat="1" hidden="1" outlineLevel="2" x14ac:dyDescent="0.25">
      <c r="A238" s="29"/>
      <c r="B238" s="11" t="str">
        <f>CONCATENATE("          ", "6376", " - ", "TRAINING")</f>
        <v xml:space="preserve">          6376 - TRAINING</v>
      </c>
      <c r="C238" s="11"/>
      <c r="D238" s="6">
        <v>2000</v>
      </c>
      <c r="E238" s="2"/>
      <c r="F238" s="7">
        <f t="shared" si="126"/>
        <v>7.9082352423512684E-4</v>
      </c>
      <c r="G238" s="2"/>
      <c r="H238" s="6">
        <v>499</v>
      </c>
      <c r="I238" s="2"/>
      <c r="J238" s="7">
        <f t="shared" si="127"/>
        <v>7.3362874019258534E-4</v>
      </c>
      <c r="K238" s="2"/>
      <c r="L238" s="6">
        <f t="shared" si="128"/>
        <v>1501</v>
      </c>
      <c r="M238" s="2"/>
      <c r="N238" s="7">
        <f t="shared" si="129"/>
        <v>3.0080160320641283</v>
      </c>
      <c r="O238" s="11"/>
      <c r="P238" s="6">
        <v>2595</v>
      </c>
      <c r="Q238" s="2"/>
      <c r="R238" s="7">
        <f t="shared" si="130"/>
        <v>3.2967893570827787E-4</v>
      </c>
      <c r="S238" s="2"/>
      <c r="T238" s="6">
        <v>980.63</v>
      </c>
      <c r="U238" s="2"/>
      <c r="V238" s="7">
        <f t="shared" si="131"/>
        <v>2.2998550244452865E-4</v>
      </c>
      <c r="W238" s="2"/>
      <c r="X238" s="6">
        <f t="shared" si="132"/>
        <v>1614.37</v>
      </c>
      <c r="Y238" s="2"/>
      <c r="Z238" s="7">
        <f t="shared" si="133"/>
        <v>1.6462580178048805</v>
      </c>
    </row>
    <row r="239" spans="1:26" s="28" customFormat="1" outlineLevel="1" collapsed="1" x14ac:dyDescent="0.25">
      <c r="A239" s="27"/>
      <c r="B239" s="14" t="str">
        <f>CONCATENATE("     ","Travel                                            ")</f>
        <v xml:space="preserve">     Travel                                            </v>
      </c>
      <c r="C239" s="14"/>
      <c r="D239" s="1">
        <f>SUM(OSRRefD22_25x_0)</f>
        <v>50</v>
      </c>
      <c r="E239" s="1"/>
      <c r="F239" s="5">
        <f t="shared" si="126"/>
        <v>1.9770588105878174E-5</v>
      </c>
      <c r="G239" s="1"/>
      <c r="H239" s="1">
        <f>SUM(OSRRefH22_25x_0)</f>
        <v>80.959999999999994</v>
      </c>
      <c r="I239" s="1"/>
      <c r="J239" s="5">
        <f t="shared" si="127"/>
        <v>1.1902722005208758E-4</v>
      </c>
      <c r="K239" s="1"/>
      <c r="L239" s="1">
        <f t="shared" si="128"/>
        <v>-30.959999999999994</v>
      </c>
      <c r="M239" s="1"/>
      <c r="N239" s="5">
        <f t="shared" si="129"/>
        <v>-0.38241106719367585</v>
      </c>
      <c r="O239" s="14"/>
      <c r="P239" s="1">
        <f>SUM(OSRRefP22_25x_0)</f>
        <v>1459.55</v>
      </c>
      <c r="Q239" s="1"/>
      <c r="R239" s="5">
        <f t="shared" si="130"/>
        <v>1.8542693279885046E-4</v>
      </c>
      <c r="S239" s="1"/>
      <c r="T239" s="1">
        <f>SUM(OSRRefT22_25x_0)</f>
        <v>714.1400000000001</v>
      </c>
      <c r="U239" s="1"/>
      <c r="V239" s="5">
        <f t="shared" si="131"/>
        <v>1.6748605153394831E-4</v>
      </c>
      <c r="W239" s="1"/>
      <c r="X239" s="1">
        <f t="shared" si="132"/>
        <v>745.40999999999985</v>
      </c>
      <c r="Y239" s="1"/>
      <c r="Z239" s="5">
        <f t="shared" si="133"/>
        <v>1.0437869325342366</v>
      </c>
    </row>
    <row r="240" spans="1:26" s="24" customFormat="1" hidden="1" outlineLevel="2" x14ac:dyDescent="0.25">
      <c r="A240" s="29"/>
      <c r="B240" s="11" t="str">
        <f>CONCATENATE("          ", "6292", " - ", "TRAVEL/CONFERENCE")</f>
        <v xml:space="preserve">          6292 - TRAVEL/CONFERENCE</v>
      </c>
      <c r="C240" s="11"/>
      <c r="D240" s="6"/>
      <c r="E240" s="2"/>
      <c r="F240" s="7">
        <f t="shared" si="126"/>
        <v>0</v>
      </c>
      <c r="G240" s="2"/>
      <c r="H240" s="6"/>
      <c r="I240" s="2"/>
      <c r="J240" s="7">
        <f t="shared" si="127"/>
        <v>0</v>
      </c>
      <c r="K240" s="2"/>
      <c r="L240" s="6">
        <f t="shared" si="128"/>
        <v>0</v>
      </c>
      <c r="M240" s="2"/>
      <c r="N240" s="7">
        <f t="shared" si="129"/>
        <v>0</v>
      </c>
      <c r="O240" s="11"/>
      <c r="P240" s="6">
        <v>1090</v>
      </c>
      <c r="Q240" s="2"/>
      <c r="R240" s="7">
        <f t="shared" si="130"/>
        <v>1.3847785738806275E-4</v>
      </c>
      <c r="S240" s="2"/>
      <c r="T240" s="6">
        <v>0.16</v>
      </c>
      <c r="U240" s="2"/>
      <c r="V240" s="7">
        <f t="shared" si="131"/>
        <v>3.752453054783617E-8</v>
      </c>
      <c r="W240" s="2"/>
      <c r="X240" s="6">
        <f t="shared" si="132"/>
        <v>1089.8399999999999</v>
      </c>
      <c r="Y240" s="2"/>
      <c r="Z240" s="7">
        <f t="shared" si="133"/>
        <v>6811.4999999999991</v>
      </c>
    </row>
    <row r="241" spans="1:26" s="24" customFormat="1" hidden="1" outlineLevel="2" x14ac:dyDescent="0.25">
      <c r="A241" s="29"/>
      <c r="B241" s="11" t="str">
        <f>CONCATENATE("          ", "6294", " - ", "TRAVEL OPERATIONAL")</f>
        <v xml:space="preserve">          6294 - TRAVEL OPERATIONAL</v>
      </c>
      <c r="C241" s="11"/>
      <c r="D241" s="6"/>
      <c r="E241" s="2"/>
      <c r="F241" s="7">
        <f t="shared" si="126"/>
        <v>0</v>
      </c>
      <c r="G241" s="2"/>
      <c r="H241" s="6">
        <v>80.959999999999994</v>
      </c>
      <c r="I241" s="2"/>
      <c r="J241" s="7">
        <f t="shared" si="127"/>
        <v>1.1902722005208758E-4</v>
      </c>
      <c r="K241" s="2"/>
      <c r="L241" s="6">
        <f t="shared" si="128"/>
        <v>-80.959999999999994</v>
      </c>
      <c r="M241" s="2"/>
      <c r="N241" s="7">
        <f t="shared" si="129"/>
        <v>-1</v>
      </c>
      <c r="O241" s="11"/>
      <c r="P241" s="6">
        <v>215.53</v>
      </c>
      <c r="Q241" s="2"/>
      <c r="R241" s="7">
        <f t="shared" si="130"/>
        <v>2.7381773030136852E-5</v>
      </c>
      <c r="S241" s="2"/>
      <c r="T241" s="6">
        <v>321.88</v>
      </c>
      <c r="U241" s="2"/>
      <c r="V241" s="7">
        <f t="shared" si="131"/>
        <v>7.548997432960942E-5</v>
      </c>
      <c r="W241" s="2"/>
      <c r="X241" s="6">
        <f t="shared" si="132"/>
        <v>-106.35</v>
      </c>
      <c r="Y241" s="2"/>
      <c r="Z241" s="7">
        <f t="shared" si="133"/>
        <v>-0.33040263452218216</v>
      </c>
    </row>
    <row r="242" spans="1:26" s="24" customFormat="1" hidden="1" outlineLevel="2" x14ac:dyDescent="0.25">
      <c r="A242" s="29"/>
      <c r="B242" s="11" t="str">
        <f>CONCATENATE("          ", "6298", " - ", "VEHICLE MILEAGE")</f>
        <v xml:space="preserve">          6298 - VEHICLE MILEAGE</v>
      </c>
      <c r="C242" s="11"/>
      <c r="D242" s="6">
        <v>50</v>
      </c>
      <c r="E242" s="2"/>
      <c r="F242" s="7">
        <f t="shared" si="126"/>
        <v>1.9770588105878174E-5</v>
      </c>
      <c r="G242" s="2"/>
      <c r="H242" s="6"/>
      <c r="I242" s="2"/>
      <c r="J242" s="7">
        <f t="shared" si="127"/>
        <v>0</v>
      </c>
      <c r="K242" s="2"/>
      <c r="L242" s="6">
        <f t="shared" si="128"/>
        <v>50</v>
      </c>
      <c r="M242" s="2"/>
      <c r="N242" s="7">
        <f t="shared" si="129"/>
        <v>0</v>
      </c>
      <c r="O242" s="11"/>
      <c r="P242" s="6">
        <v>154.02000000000001</v>
      </c>
      <c r="Q242" s="2"/>
      <c r="R242" s="7">
        <f t="shared" si="130"/>
        <v>1.956730238065085E-5</v>
      </c>
      <c r="S242" s="2"/>
      <c r="T242" s="6">
        <v>392.1</v>
      </c>
      <c r="U242" s="2"/>
      <c r="V242" s="7">
        <f t="shared" si="131"/>
        <v>9.1958552673791026E-5</v>
      </c>
      <c r="W242" s="2"/>
      <c r="X242" s="6">
        <f t="shared" si="132"/>
        <v>-238.08</v>
      </c>
      <c r="Y242" s="2"/>
      <c r="Z242" s="7">
        <f t="shared" si="133"/>
        <v>-0.60719204284621264</v>
      </c>
    </row>
    <row r="243" spans="1:26" s="28" customFormat="1" outlineLevel="1" collapsed="1" x14ac:dyDescent="0.25">
      <c r="A243" s="27"/>
      <c r="B243" s="14" t="str">
        <f>CONCATENATE("     ","Utilities                                         ")</f>
        <v xml:space="preserve">     Utilities                                         </v>
      </c>
      <c r="C243" s="14"/>
      <c r="D243" s="1">
        <f>SUM(OSRRefD22_26x_0)</f>
        <v>11888.6</v>
      </c>
      <c r="E243" s="1"/>
      <c r="F243" s="5">
        <f t="shared" ref="F243:F244" si="134">IF(D$12=0,0,D243/D$12)</f>
        <v>4.7008922751108646E-3</v>
      </c>
      <c r="G243" s="1"/>
      <c r="H243" s="1">
        <f>SUM(OSRRefH22_26x_0)</f>
        <v>-6138.95</v>
      </c>
      <c r="I243" s="1"/>
      <c r="J243" s="5">
        <f t="shared" ref="J243:J244" si="135">IF(H$12=0,0,H243/H$12)</f>
        <v>-9.025471251713971E-3</v>
      </c>
      <c r="K243" s="1"/>
      <c r="L243" s="1">
        <f t="shared" ref="L243:L244" si="136">+D243-H243</f>
        <v>18027.55</v>
      </c>
      <c r="M243" s="1"/>
      <c r="N243" s="5">
        <f t="shared" ref="N243:N244" si="137">IF(H243=0,0,L243/H243)</f>
        <v>-2.9365852466627027</v>
      </c>
      <c r="O243" s="14"/>
      <c r="P243" s="1">
        <f>SUM(OSRRefP22_26x_0)</f>
        <v>54749.98</v>
      </c>
      <c r="Q243" s="1"/>
      <c r="R243" s="5">
        <f t="shared" ref="R243:R244" si="138">IF(P$12=0,0,P243/P$12)</f>
        <v>6.9556513049901731E-3</v>
      </c>
      <c r="S243" s="1"/>
      <c r="T243" s="1">
        <f>SUM(OSRRefT22_26x_0)</f>
        <v>19393.43</v>
      </c>
      <c r="U243" s="1"/>
      <c r="V243" s="5">
        <f t="shared" ref="V243:V244" si="139">IF(T$12=0,0,T243/T$12)</f>
        <v>4.5483084778895153E-3</v>
      </c>
      <c r="W243" s="1"/>
      <c r="X243" s="1">
        <f t="shared" ref="X243:X244" si="140">+P243-T243</f>
        <v>35356.550000000003</v>
      </c>
      <c r="Y243" s="1"/>
      <c r="Z243" s="5">
        <f t="shared" ref="Z243:Z244" si="141">IF(T243=0,0,X243/T243)</f>
        <v>1.8231199947611125</v>
      </c>
    </row>
    <row r="244" spans="1:26" s="24" customFormat="1" hidden="1" outlineLevel="2" x14ac:dyDescent="0.25">
      <c r="A244" s="29"/>
      <c r="B244" s="11" t="str">
        <f>CONCATENATE("          ", "6274", " - ", "UTILITIES")</f>
        <v xml:space="preserve">          6274 - UTILITIES</v>
      </c>
      <c r="C244" s="11"/>
      <c r="D244" s="6">
        <v>11888.6</v>
      </c>
      <c r="E244" s="2"/>
      <c r="F244" s="7">
        <f t="shared" si="134"/>
        <v>4.7008922751108646E-3</v>
      </c>
      <c r="G244" s="2"/>
      <c r="H244" s="6">
        <v>-6138.95</v>
      </c>
      <c r="I244" s="2"/>
      <c r="J244" s="7">
        <f t="shared" si="135"/>
        <v>-9.025471251713971E-3</v>
      </c>
      <c r="K244" s="2"/>
      <c r="L244" s="6">
        <f t="shared" si="136"/>
        <v>18027.55</v>
      </c>
      <c r="M244" s="2"/>
      <c r="N244" s="7">
        <f t="shared" si="137"/>
        <v>-2.9365852466627027</v>
      </c>
      <c r="O244" s="11"/>
      <c r="P244" s="6">
        <v>54749.98</v>
      </c>
      <c r="Q244" s="2"/>
      <c r="R244" s="7">
        <f t="shared" si="138"/>
        <v>6.9556513049901731E-3</v>
      </c>
      <c r="S244" s="2"/>
      <c r="T244" s="6">
        <v>19393.43</v>
      </c>
      <c r="U244" s="2"/>
      <c r="V244" s="7">
        <f t="shared" si="139"/>
        <v>4.5483084778895153E-3</v>
      </c>
      <c r="W244" s="2"/>
      <c r="X244" s="6">
        <f t="shared" si="140"/>
        <v>35356.550000000003</v>
      </c>
      <c r="Y244" s="2"/>
      <c r="Z244" s="7">
        <f t="shared" si="141"/>
        <v>1.8231199947611125</v>
      </c>
    </row>
    <row r="245" spans="1:26" s="56" customFormat="1" x14ac:dyDescent="0.25">
      <c r="A245" s="37"/>
      <c r="B245" s="37"/>
      <c r="C245" s="37"/>
      <c r="D245" s="1"/>
      <c r="E245" s="1"/>
      <c r="F245" s="5"/>
      <c r="G245" s="1"/>
      <c r="H245" s="1"/>
      <c r="I245" s="1"/>
      <c r="J245" s="5"/>
      <c r="K245" s="1"/>
      <c r="L245" s="1"/>
      <c r="M245" s="1"/>
      <c r="N245" s="5"/>
      <c r="O245" s="37"/>
      <c r="P245" s="1"/>
      <c r="Q245" s="1"/>
      <c r="R245" s="5"/>
      <c r="S245" s="1"/>
      <c r="T245" s="1"/>
      <c r="U245" s="1"/>
      <c r="V245" s="5"/>
      <c r="W245" s="1"/>
      <c r="X245" s="1"/>
      <c r="Y245" s="1"/>
      <c r="Z245" s="5"/>
    </row>
    <row r="246" spans="1:26" s="23" customFormat="1" collapsed="1" x14ac:dyDescent="0.25">
      <c r="A246" s="10"/>
      <c r="B246" s="25" t="s">
        <v>292</v>
      </c>
      <c r="C246" s="10"/>
      <c r="D246" s="4">
        <f>SUM(OSRRefD25x_0)</f>
        <v>46304.480000000003</v>
      </c>
      <c r="E246" s="4"/>
      <c r="F246" s="12">
        <f t="shared" ref="F246:F254" si="142">IF(D$12=0,0,D246/D$12)</f>
        <v>1.8309336030737474E-2</v>
      </c>
      <c r="G246" s="4"/>
      <c r="H246" s="4">
        <f>SUM(OSRRefH25x_0)</f>
        <v>32628.180000000004</v>
      </c>
      <c r="I246" s="4"/>
      <c r="J246" s="12">
        <f t="shared" ref="J246:J254" si="143">IF(H$12=0,0,H246/H$12)</f>
        <v>4.7969880938230285E-2</v>
      </c>
      <c r="K246" s="4"/>
      <c r="L246" s="4">
        <f t="shared" ref="L246:L254" si="144">+D246-H246</f>
        <v>13676.3</v>
      </c>
      <c r="M246" s="4"/>
      <c r="N246" s="12">
        <f t="shared" ref="N246:N254" si="145">IF(H246=0,0,L246/H246)</f>
        <v>0.41915607919289394</v>
      </c>
      <c r="O246" s="10"/>
      <c r="P246" s="4">
        <f>SUM(OSRRefP25x_0)</f>
        <v>431849.81999999995</v>
      </c>
      <c r="Q246" s="4"/>
      <c r="R246" s="12">
        <f t="shared" ref="R246:R254" si="146">IF(P$12=0,0,P246/P$12)</f>
        <v>5.486388787800052E-2</v>
      </c>
      <c r="S246" s="4"/>
      <c r="T246" s="4">
        <f>SUM(OSRRefT25x_0)</f>
        <v>458171.02000000008</v>
      </c>
      <c r="U246" s="4"/>
      <c r="V246" s="12">
        <f t="shared" ref="V246:V254" si="147">IF(T$12=0,0,T246/T$12)</f>
        <v>0.10745407772577038</v>
      </c>
      <c r="W246" s="4"/>
      <c r="X246" s="4">
        <f t="shared" ref="X246:X254" si="148">+P246-T246</f>
        <v>-26321.200000000128</v>
      </c>
      <c r="Y246" s="4"/>
      <c r="Z246" s="12">
        <f t="shared" ref="Z246:Z254" si="149">IF(T246=0,0,X246/T246)</f>
        <v>-5.7448417405361267E-2</v>
      </c>
    </row>
    <row r="247" spans="1:26" s="24" customFormat="1" hidden="1" outlineLevel="1" x14ac:dyDescent="0.25">
      <c r="A247" s="44"/>
      <c r="B247" s="11" t="str">
        <f>CONCATENATE("          ", "4187", " - ", "NON-TAXABLE SALES-COMPUTER REP")</f>
        <v xml:space="preserve">          4187 - NON-TAXABLE SALES-COMPUTER REP</v>
      </c>
      <c r="C247" s="11"/>
      <c r="D247" s="2">
        <f>0</f>
        <v>0</v>
      </c>
      <c r="E247" s="2"/>
      <c r="F247" s="19">
        <f t="shared" si="142"/>
        <v>0</v>
      </c>
      <c r="G247" s="2"/>
      <c r="H247" s="2">
        <f>--792.83</f>
        <v>792.83</v>
      </c>
      <c r="I247" s="2"/>
      <c r="J247" s="19">
        <f t="shared" si="143"/>
        <v>1.165616982138051E-3</v>
      </c>
      <c r="K247" s="2"/>
      <c r="L247" s="2">
        <f t="shared" si="144"/>
        <v>-792.83</v>
      </c>
      <c r="M247" s="2"/>
      <c r="N247" s="19">
        <f t="shared" si="145"/>
        <v>-1</v>
      </c>
      <c r="O247" s="11"/>
      <c r="P247" s="2">
        <f>0</f>
        <v>0</v>
      </c>
      <c r="Q247" s="2"/>
      <c r="R247" s="19">
        <f t="shared" si="146"/>
        <v>0</v>
      </c>
      <c r="S247" s="2"/>
      <c r="T247" s="2">
        <f>--937.96</f>
        <v>937.96</v>
      </c>
      <c r="U247" s="2"/>
      <c r="V247" s="19">
        <f t="shared" si="147"/>
        <v>2.199781792040526E-4</v>
      </c>
      <c r="W247" s="2"/>
      <c r="X247" s="2">
        <f t="shared" si="148"/>
        <v>-937.96</v>
      </c>
      <c r="Y247" s="2"/>
      <c r="Z247" s="19">
        <f t="shared" si="149"/>
        <v>-1</v>
      </c>
    </row>
    <row r="248" spans="1:26" s="24" customFormat="1" hidden="1" outlineLevel="1" x14ac:dyDescent="0.25">
      <c r="A248" s="44"/>
      <c r="B248" s="11" t="str">
        <f>CONCATENATE("          ", "9087", " - ", "")</f>
        <v xml:space="preserve">          9087 - </v>
      </c>
      <c r="C248" s="11"/>
      <c r="D248" s="2">
        <f>-830.04</f>
        <v>-830.04</v>
      </c>
      <c r="E248" s="2"/>
      <c r="F248" s="19">
        <f t="shared" si="142"/>
        <v>-3.2820757902806232E-4</v>
      </c>
      <c r="G248" s="2"/>
      <c r="H248" s="2">
        <f>0</f>
        <v>0</v>
      </c>
      <c r="I248" s="2"/>
      <c r="J248" s="19">
        <f t="shared" si="143"/>
        <v>0</v>
      </c>
      <c r="K248" s="2"/>
      <c r="L248" s="2">
        <f t="shared" si="144"/>
        <v>-830.04</v>
      </c>
      <c r="M248" s="2"/>
      <c r="N248" s="19">
        <f t="shared" si="145"/>
        <v>0</v>
      </c>
      <c r="O248" s="11"/>
      <c r="P248" s="2">
        <f>-466.39</f>
        <v>-466.39</v>
      </c>
      <c r="Q248" s="2"/>
      <c r="R248" s="19">
        <f t="shared" si="146"/>
        <v>-5.9252007254328981E-5</v>
      </c>
      <c r="S248" s="2"/>
      <c r="T248" s="2">
        <f>0</f>
        <v>0</v>
      </c>
      <c r="U248" s="2"/>
      <c r="V248" s="19">
        <f t="shared" si="147"/>
        <v>0</v>
      </c>
      <c r="W248" s="2"/>
      <c r="X248" s="2">
        <f t="shared" si="148"/>
        <v>-466.39</v>
      </c>
      <c r="Y248" s="2"/>
      <c r="Z248" s="19">
        <f t="shared" si="149"/>
        <v>0</v>
      </c>
    </row>
    <row r="249" spans="1:26" s="24" customFormat="1" hidden="1" outlineLevel="1" x14ac:dyDescent="0.25">
      <c r="A249" s="44"/>
      <c r="B249" s="11" t="str">
        <f>CONCATENATE("          ", "9150", " - ", "MISC. INCOME")</f>
        <v xml:space="preserve">          9150 - MISC. INCOME</v>
      </c>
      <c r="C249" s="11"/>
      <c r="D249" s="2">
        <f>--37140.26</f>
        <v>37140.26</v>
      </c>
      <c r="E249" s="2"/>
      <c r="F249" s="19">
        <f t="shared" si="142"/>
        <v>1.4685695652104458E-2</v>
      </c>
      <c r="G249" s="2"/>
      <c r="H249" s="2">
        <f>--31235.08</f>
        <v>31235.08</v>
      </c>
      <c r="I249" s="2"/>
      <c r="J249" s="19">
        <f t="shared" si="143"/>
        <v>4.5921748276983206E-2</v>
      </c>
      <c r="K249" s="2"/>
      <c r="L249" s="2">
        <f t="shared" si="144"/>
        <v>5905.18</v>
      </c>
      <c r="M249" s="2"/>
      <c r="N249" s="19">
        <f t="shared" si="145"/>
        <v>0.189056022907577</v>
      </c>
      <c r="O249" s="11"/>
      <c r="P249" s="2">
        <f>--188909.24</f>
        <v>188909.24</v>
      </c>
      <c r="Q249" s="2"/>
      <c r="R249" s="19">
        <f t="shared" si="146"/>
        <v>2.3999767702759009E-2</v>
      </c>
      <c r="S249" s="2"/>
      <c r="T249" s="2">
        <f>--143779.32</f>
        <v>143779.32</v>
      </c>
      <c r="U249" s="2"/>
      <c r="V249" s="19">
        <f t="shared" si="147"/>
        <v>3.3720321784294453E-2</v>
      </c>
      <c r="W249" s="2"/>
      <c r="X249" s="2">
        <f t="shared" si="148"/>
        <v>45129.919999999984</v>
      </c>
      <c r="Y249" s="2"/>
      <c r="Z249" s="19">
        <f t="shared" si="149"/>
        <v>0.31388324830024222</v>
      </c>
    </row>
    <row r="250" spans="1:26" s="24" customFormat="1" hidden="1" outlineLevel="1" x14ac:dyDescent="0.25">
      <c r="A250" s="44"/>
      <c r="B250" s="11" t="str">
        <f>CONCATENATE("          ", "9151", " - ", "MISC. INCOME")</f>
        <v xml:space="preserve">          9151 - MISC. INCOME</v>
      </c>
      <c r="C250" s="11"/>
      <c r="D250" s="2">
        <f>0</f>
        <v>0</v>
      </c>
      <c r="E250" s="2"/>
      <c r="F250" s="19">
        <f t="shared" si="142"/>
        <v>0</v>
      </c>
      <c r="G250" s="2"/>
      <c r="H250" s="2">
        <f>0</f>
        <v>0</v>
      </c>
      <c r="I250" s="2"/>
      <c r="J250" s="19">
        <f t="shared" si="143"/>
        <v>0</v>
      </c>
      <c r="K250" s="2"/>
      <c r="L250" s="2">
        <f t="shared" si="144"/>
        <v>0</v>
      </c>
      <c r="M250" s="2"/>
      <c r="N250" s="19">
        <f t="shared" si="145"/>
        <v>0</v>
      </c>
      <c r="O250" s="11"/>
      <c r="P250" s="2">
        <f>--168463.36</f>
        <v>168463.35999999999</v>
      </c>
      <c r="Q250" s="2"/>
      <c r="R250" s="19">
        <f t="shared" si="146"/>
        <v>2.140224324880172E-2</v>
      </c>
      <c r="S250" s="2"/>
      <c r="T250" s="2">
        <f>--147285.39</f>
        <v>147285.39000000001</v>
      </c>
      <c r="U250" s="2"/>
      <c r="V250" s="19">
        <f t="shared" si="147"/>
        <v>3.4542594476906031E-2</v>
      </c>
      <c r="W250" s="2"/>
      <c r="X250" s="2">
        <f t="shared" si="148"/>
        <v>21177.969999999972</v>
      </c>
      <c r="Y250" s="2"/>
      <c r="Z250" s="19">
        <f t="shared" si="149"/>
        <v>0.14378866770152809</v>
      </c>
    </row>
    <row r="251" spans="1:26" s="24" customFormat="1" hidden="1" outlineLevel="1" x14ac:dyDescent="0.25">
      <c r="A251" s="44"/>
      <c r="B251" s="11" t="str">
        <f>CONCATENATE("          ", "9152", " - ", "MISC. INCOME")</f>
        <v xml:space="preserve">          9152 - MISC. INCOME</v>
      </c>
      <c r="C251" s="11"/>
      <c r="D251" s="2">
        <f>--257.3</f>
        <v>257.3</v>
      </c>
      <c r="E251" s="2"/>
      <c r="F251" s="19">
        <f t="shared" si="142"/>
        <v>1.0173944639284907E-4</v>
      </c>
      <c r="G251" s="2"/>
      <c r="H251" s="2">
        <f>--262.08</f>
        <v>262.08</v>
      </c>
      <c r="I251" s="2"/>
      <c r="J251" s="19">
        <f t="shared" si="143"/>
        <v>3.8530945937810171E-4</v>
      </c>
      <c r="K251" s="2"/>
      <c r="L251" s="2">
        <f t="shared" si="144"/>
        <v>-4.7799999999999727</v>
      </c>
      <c r="M251" s="2"/>
      <c r="N251" s="19">
        <f t="shared" si="145"/>
        <v>-1.8238705738705636E-2</v>
      </c>
      <c r="O251" s="11"/>
      <c r="P251" s="2">
        <f>--2195.41</f>
        <v>2195.41</v>
      </c>
      <c r="Q251" s="2"/>
      <c r="R251" s="19">
        <f t="shared" si="146"/>
        <v>2.7891346136543749E-4</v>
      </c>
      <c r="S251" s="2"/>
      <c r="T251" s="2">
        <f>--2351.02</f>
        <v>2351.02</v>
      </c>
      <c r="U251" s="2"/>
      <c r="V251" s="19">
        <f t="shared" si="147"/>
        <v>5.5138076130358622E-4</v>
      </c>
      <c r="W251" s="2"/>
      <c r="X251" s="2">
        <f t="shared" si="148"/>
        <v>-155.61000000000013</v>
      </c>
      <c r="Y251" s="2"/>
      <c r="Z251" s="19">
        <f t="shared" si="149"/>
        <v>-6.61882927410231E-2</v>
      </c>
    </row>
    <row r="252" spans="1:26" s="24" customFormat="1" hidden="1" outlineLevel="1" x14ac:dyDescent="0.25">
      <c r="A252" s="44"/>
      <c r="B252" s="11" t="str">
        <f>CONCATENATE("          ", "9160", " - ", "MISC. INCOME")</f>
        <v xml:space="preserve">          9160 - MISC. INCOME</v>
      </c>
      <c r="C252" s="11"/>
      <c r="D252" s="2">
        <f>0</f>
        <v>0</v>
      </c>
      <c r="E252" s="2"/>
      <c r="F252" s="19">
        <f t="shared" si="142"/>
        <v>0</v>
      </c>
      <c r="G252" s="2"/>
      <c r="H252" s="2">
        <f>--338.19</f>
        <v>338.19</v>
      </c>
      <c r="I252" s="2"/>
      <c r="J252" s="19">
        <f t="shared" si="143"/>
        <v>4.9720621973092273E-4</v>
      </c>
      <c r="K252" s="2"/>
      <c r="L252" s="2">
        <f t="shared" si="144"/>
        <v>-338.19</v>
      </c>
      <c r="M252" s="2"/>
      <c r="N252" s="19">
        <f t="shared" si="145"/>
        <v>-1</v>
      </c>
      <c r="O252" s="11"/>
      <c r="P252" s="2">
        <f>0</f>
        <v>0</v>
      </c>
      <c r="Q252" s="2"/>
      <c r="R252" s="19">
        <f t="shared" si="146"/>
        <v>0</v>
      </c>
      <c r="S252" s="2"/>
      <c r="T252" s="2">
        <f>--2328.25</f>
        <v>2328.25</v>
      </c>
      <c r="U252" s="2"/>
      <c r="V252" s="19">
        <f t="shared" si="147"/>
        <v>5.4604055154999732E-4</v>
      </c>
      <c r="W252" s="2"/>
      <c r="X252" s="2">
        <f t="shared" si="148"/>
        <v>-2328.25</v>
      </c>
      <c r="Y252" s="2"/>
      <c r="Z252" s="19">
        <f t="shared" si="149"/>
        <v>-1</v>
      </c>
    </row>
    <row r="253" spans="1:26" s="24" customFormat="1" hidden="1" outlineLevel="1" x14ac:dyDescent="0.25">
      <c r="A253" s="44"/>
      <c r="B253" s="11" t="str">
        <f>CONCATENATE("          ", "9163", " - ", "MISC. INCOME")</f>
        <v xml:space="preserve">          9163 - MISC. INCOME</v>
      </c>
      <c r="C253" s="11"/>
      <c r="D253" s="2">
        <f>--9736.96</f>
        <v>9736.9599999999991</v>
      </c>
      <c r="E253" s="2"/>
      <c r="F253" s="19">
        <f t="shared" si="142"/>
        <v>3.8501085112682301E-3</v>
      </c>
      <c r="G253" s="2"/>
      <c r="H253" s="2">
        <f t="shared" ref="H253:H254" si="150">0</f>
        <v>0</v>
      </c>
      <c r="I253" s="2"/>
      <c r="J253" s="19">
        <f t="shared" si="143"/>
        <v>0</v>
      </c>
      <c r="K253" s="2"/>
      <c r="L253" s="2">
        <f t="shared" si="144"/>
        <v>9736.9599999999991</v>
      </c>
      <c r="M253" s="2"/>
      <c r="N253" s="19">
        <f t="shared" si="145"/>
        <v>0</v>
      </c>
      <c r="O253" s="11"/>
      <c r="P253" s="2">
        <f>--72748.2</f>
        <v>72748.2</v>
      </c>
      <c r="Q253" s="2"/>
      <c r="R253" s="19">
        <f t="shared" si="146"/>
        <v>9.2422154723286847E-3</v>
      </c>
      <c r="S253" s="2"/>
      <c r="T253" s="2">
        <f>--160663.9</f>
        <v>160663.9</v>
      </c>
      <c r="U253" s="2"/>
      <c r="V253" s="19">
        <f t="shared" si="147"/>
        <v>3.7680233896778097E-2</v>
      </c>
      <c r="W253" s="2"/>
      <c r="X253" s="2">
        <f t="shared" si="148"/>
        <v>-87915.7</v>
      </c>
      <c r="Y253" s="2"/>
      <c r="Z253" s="19">
        <f t="shared" si="149"/>
        <v>-0.54720257630992397</v>
      </c>
    </row>
    <row r="254" spans="1:26" s="24" customFormat="1" hidden="1" outlineLevel="1" x14ac:dyDescent="0.25">
      <c r="A254" s="44"/>
      <c r="B254" s="11" t="str">
        <f>CONCATENATE("          ", "9165", " - ", "OTHER INCOME")</f>
        <v xml:space="preserve">          9165 - OTHER INCOME</v>
      </c>
      <c r="C254" s="11"/>
      <c r="D254" s="2">
        <f>0</f>
        <v>0</v>
      </c>
      <c r="E254" s="2"/>
      <c r="F254" s="19">
        <f t="shared" si="142"/>
        <v>0</v>
      </c>
      <c r="G254" s="2"/>
      <c r="H254" s="2">
        <f t="shared" si="150"/>
        <v>0</v>
      </c>
      <c r="I254" s="2"/>
      <c r="J254" s="19">
        <f t="shared" si="143"/>
        <v>0</v>
      </c>
      <c r="K254" s="2"/>
      <c r="L254" s="2">
        <f t="shared" si="144"/>
        <v>0</v>
      </c>
      <c r="M254" s="2"/>
      <c r="N254" s="19">
        <f t="shared" si="145"/>
        <v>0</v>
      </c>
      <c r="O254" s="11"/>
      <c r="P254" s="2">
        <f>0</f>
        <v>0</v>
      </c>
      <c r="Q254" s="2"/>
      <c r="R254" s="19">
        <f t="shared" si="146"/>
        <v>0</v>
      </c>
      <c r="S254" s="2"/>
      <c r="T254" s="2">
        <f>--825.18</f>
        <v>825.18</v>
      </c>
      <c r="U254" s="2"/>
      <c r="V254" s="19">
        <f t="shared" si="147"/>
        <v>1.9352807573414657E-4</v>
      </c>
      <c r="W254" s="2"/>
      <c r="X254" s="2">
        <f t="shared" si="148"/>
        <v>-825.18</v>
      </c>
      <c r="Y254" s="2"/>
      <c r="Z254" s="19">
        <f t="shared" si="149"/>
        <v>-1</v>
      </c>
    </row>
    <row r="255" spans="1:26" x14ac:dyDescent="0.25">
      <c r="A255" s="9"/>
      <c r="B255" s="10"/>
      <c r="C255" s="10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O255" s="10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10"/>
      <c r="B256" s="26" t="s">
        <v>276</v>
      </c>
      <c r="C256" s="26"/>
      <c r="D256" s="22">
        <f>+D148-D150+D246</f>
        <v>233738.15999999971</v>
      </c>
      <c r="E256" s="13"/>
      <c r="F256" s="20">
        <f>IF(D$12=0,0,D256/D$12)</f>
        <v>9.2422817719716874E-2</v>
      </c>
      <c r="G256" s="13"/>
      <c r="H256" s="22">
        <f>+H148-H150+H246</f>
        <v>-535067.68999999959</v>
      </c>
      <c r="I256" s="13"/>
      <c r="J256" s="20">
        <f>IF(H$12=0,0,H256/H$12)</f>
        <v>-0.78665538142776847</v>
      </c>
      <c r="K256" s="15"/>
      <c r="L256" s="22">
        <f>+D256-H256</f>
        <v>768805.84999999928</v>
      </c>
      <c r="M256" s="15"/>
      <c r="N256" s="20">
        <f>IF(H256=0,0,L256/H256)</f>
        <v>-1.436838486734267</v>
      </c>
      <c r="O256" s="25"/>
      <c r="P256" s="22">
        <f>+P148-P150+P246</f>
        <v>519712.05000000226</v>
      </c>
      <c r="Q256" s="13"/>
      <c r="R256" s="20">
        <f>IF(P$12=0,0,P256/P$12)</f>
        <v>6.6026248754823907E-2</v>
      </c>
      <c r="S256" s="13"/>
      <c r="T256" s="22">
        <f>+T148-T150+T246</f>
        <v>-1008190.3800000041</v>
      </c>
      <c r="U256" s="13"/>
      <c r="V256" s="20">
        <f>IF(T$12=0,0,T256/T$12)</f>
        <v>-0.23644919195215444</v>
      </c>
      <c r="W256" s="15"/>
      <c r="X256" s="22">
        <f>+P256-T256</f>
        <v>1527902.4300000062</v>
      </c>
      <c r="Y256" s="15"/>
      <c r="Z256" s="20">
        <f>IF(T256=0,0,X256/T256)</f>
        <v>-1.5154899910868025</v>
      </c>
    </row>
    <row r="257" spans="1:26" x14ac:dyDescent="0.25">
      <c r="A257" s="9"/>
      <c r="B257" s="10"/>
      <c r="C257" s="9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x14ac:dyDescent="0.25">
      <c r="A258" s="51"/>
      <c r="B258" s="10" t="s">
        <v>127</v>
      </c>
      <c r="C258" s="10"/>
      <c r="D258" s="4">
        <v>248611.92</v>
      </c>
      <c r="E258" s="4"/>
      <c r="F258" s="12">
        <f>IF(D$12=0,0,D258/D$12)</f>
        <v>9.8304077370630724E-2</v>
      </c>
      <c r="G258" s="4"/>
      <c r="H258" s="4">
        <v>259749.95</v>
      </c>
      <c r="I258" s="4"/>
      <c r="J258" s="12">
        <f>IF(H$12=0,0,H258/H$12)</f>
        <v>0.38188382481680772</v>
      </c>
      <c r="K258" s="4"/>
      <c r="L258" s="4">
        <f>+D258-H258</f>
        <v>-11138.029999999999</v>
      </c>
      <c r="M258" s="4"/>
      <c r="N258" s="12">
        <f>IF(H258=0,0,L258/H258)</f>
        <v>-4.2879815761273476E-2</v>
      </c>
      <c r="O258" s="10"/>
      <c r="P258" s="4">
        <v>909856.62</v>
      </c>
      <c r="Q258" s="4"/>
      <c r="R258" s="12">
        <f>IF(P$12=0,0,P258/P$12)</f>
        <v>0.11559173877793102</v>
      </c>
      <c r="S258" s="4"/>
      <c r="T258" s="4">
        <v>923647.69</v>
      </c>
      <c r="U258" s="4"/>
      <c r="V258" s="12">
        <f>IF(T$12=0,0,T258/T$12)</f>
        <v>0.2166215372427707</v>
      </c>
      <c r="W258" s="4"/>
      <c r="X258" s="4">
        <f>+P258-T258</f>
        <v>-13791.069999999949</v>
      </c>
      <c r="Y258" s="4"/>
      <c r="Z258" s="12">
        <f>IF(T258=0,0,X258/T258)</f>
        <v>-1.4931093477860535E-2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ht="15.75" thickBot="1" x14ac:dyDescent="0.3">
      <c r="A260" s="10"/>
      <c r="B260" s="26" t="s">
        <v>125</v>
      </c>
      <c r="C260" s="26"/>
      <c r="D260" s="33">
        <f>+D256-D258</f>
        <v>-14873.7600000003</v>
      </c>
      <c r="E260" s="13"/>
      <c r="F260" s="31">
        <f>IF(D$12=0,0,D260/D$12)</f>
        <v>-5.8812596509138495E-3</v>
      </c>
      <c r="G260" s="13"/>
      <c r="H260" s="33">
        <f>+H256-H258</f>
        <v>-794817.63999999966</v>
      </c>
      <c r="I260" s="13"/>
      <c r="J260" s="31">
        <f>IF(H$12=0,0,H260/H$12)</f>
        <v>-1.1685392062445763</v>
      </c>
      <c r="K260" s="15"/>
      <c r="L260" s="33">
        <f>D260-H260</f>
        <v>779943.87999999942</v>
      </c>
      <c r="M260" s="15"/>
      <c r="N260" s="31">
        <f>IF(H260=0,0,L260/H260)</f>
        <v>-0.98128657537092379</v>
      </c>
      <c r="O260" s="25"/>
      <c r="P260" s="33">
        <f>+P256-P258</f>
        <v>-390144.56999999774</v>
      </c>
      <c r="Q260" s="13"/>
      <c r="R260" s="31">
        <f>IF(P$12=0,0,P260/P$12)</f>
        <v>-4.9565490023107117E-2</v>
      </c>
      <c r="S260" s="13"/>
      <c r="T260" s="33">
        <f>+T256-T258</f>
        <v>-1931838.070000004</v>
      </c>
      <c r="U260" s="13"/>
      <c r="V260" s="31">
        <f>IF(T$12=0,0,T260/T$12)</f>
        <v>-0.45307072919492514</v>
      </c>
      <c r="W260" s="15"/>
      <c r="X260" s="33">
        <f>P260-T260</f>
        <v>1541693.5000000063</v>
      </c>
      <c r="Y260" s="15"/>
      <c r="Z260" s="31">
        <f>IF(T260=0,0,X260/T260)</f>
        <v>-0.7980448899632685</v>
      </c>
    </row>
    <row r="261" spans="1:26" ht="15.75" thickTop="1" x14ac:dyDescent="0.25">
      <c r="A261" s="9"/>
      <c r="B261" s="9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1"/>
      <c r="B262" s="10" t="s">
        <v>183</v>
      </c>
      <c r="C262" s="10"/>
      <c r="D262" s="4">
        <f>--337591.35</f>
        <v>337591.35</v>
      </c>
      <c r="E262" s="4"/>
      <c r="F262" s="12">
        <f t="shared" ref="F262:F263" si="151">IF(D$12=0,0,D262/D$12)</f>
        <v>0.13348759057914708</v>
      </c>
      <c r="G262" s="4"/>
      <c r="H262" s="4">
        <f>-139066.28</f>
        <v>-139066.28</v>
      </c>
      <c r="I262" s="4"/>
      <c r="J262" s="12">
        <f t="shared" ref="J262:J263" si="152">IF(H$12=0,0,H262/H$12)</f>
        <v>-0.20445494949833531</v>
      </c>
      <c r="K262" s="4"/>
      <c r="L262" s="4">
        <f t="shared" ref="L262:L263" si="153">+D262-H262</f>
        <v>476657.63</v>
      </c>
      <c r="M262" s="4"/>
      <c r="N262" s="12">
        <f t="shared" ref="N262:N263" si="154">IF(H262=0,0,L262/H262)</f>
        <v>-3.4275572050967353</v>
      </c>
      <c r="O262" s="10"/>
      <c r="P262" s="4">
        <f>--117981.78</f>
        <v>117981.78</v>
      </c>
      <c r="Q262" s="4"/>
      <c r="R262" s="12">
        <f t="shared" ref="R262:R263" si="155">IF(P$12=0,0,P262/P$12)</f>
        <v>1.4988866151586969E-2</v>
      </c>
      <c r="S262" s="4"/>
      <c r="T262" s="4">
        <f>--580692.78</f>
        <v>580692.78</v>
      </c>
      <c r="U262" s="4"/>
      <c r="V262" s="12">
        <f t="shared" ref="V262:V263" si="156">IF(T$12=0,0,T262/T$12)</f>
        <v>0.13618889976261195</v>
      </c>
      <c r="W262" s="4"/>
      <c r="X262" s="4">
        <f t="shared" ref="X262:X263" si="157">+P262-T262</f>
        <v>-462711</v>
      </c>
      <c r="Y262" s="4"/>
      <c r="Z262" s="12">
        <f t="shared" ref="Z262:Z263" si="158">IF(T262=0,0,X262/T262)</f>
        <v>-0.79682581898125193</v>
      </c>
    </row>
    <row r="263" spans="1:26" s="23" customFormat="1" x14ac:dyDescent="0.25">
      <c r="A263" s="51"/>
      <c r="B263" s="10" t="s">
        <v>81</v>
      </c>
      <c r="C263" s="10"/>
      <c r="D263" s="4">
        <f>--10527.25</f>
        <v>10527.25</v>
      </c>
      <c r="E263" s="4"/>
      <c r="F263" s="12">
        <f t="shared" si="151"/>
        <v>4.1625984727521196E-3</v>
      </c>
      <c r="G263" s="4"/>
      <c r="H263" s="4">
        <f>--10141.14</f>
        <v>10141.14</v>
      </c>
      <c r="I263" s="4"/>
      <c r="J263" s="12">
        <f t="shared" si="152"/>
        <v>1.4909482489612493E-2</v>
      </c>
      <c r="K263" s="4"/>
      <c r="L263" s="4">
        <f t="shared" si="153"/>
        <v>386.11000000000058</v>
      </c>
      <c r="M263" s="4"/>
      <c r="N263" s="12">
        <f t="shared" si="154"/>
        <v>3.8073628803073481E-2</v>
      </c>
      <c r="O263" s="10"/>
      <c r="P263" s="4">
        <f>--47856.03</f>
        <v>47856.03</v>
      </c>
      <c r="Q263" s="4"/>
      <c r="R263" s="12">
        <f t="shared" si="155"/>
        <v>6.0798169701824336E-3</v>
      </c>
      <c r="S263" s="4"/>
      <c r="T263" s="4">
        <f>-23119.82</f>
        <v>-23119.82</v>
      </c>
      <c r="U263" s="4"/>
      <c r="V263" s="12">
        <f t="shared" si="156"/>
        <v>-5.4222524490654608E-3</v>
      </c>
      <c r="W263" s="4"/>
      <c r="X263" s="4">
        <f t="shared" si="157"/>
        <v>70975.850000000006</v>
      </c>
      <c r="Y263" s="4"/>
      <c r="Z263" s="12">
        <f t="shared" si="158"/>
        <v>-3.0699136065938233</v>
      </c>
    </row>
    <row r="264" spans="1:26" x14ac:dyDescent="0.25">
      <c r="A264" s="9"/>
      <c r="B264" s="9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6" t="s">
        <v>293</v>
      </c>
      <c r="C265" s="26"/>
      <c r="D265" s="34">
        <f>SUM(D260:D264)</f>
        <v>333244.83999999968</v>
      </c>
      <c r="E265" s="13"/>
      <c r="F265" s="30">
        <f>IF(D$12=0,0,D265/D$12)</f>
        <v>0.13176892940098536</v>
      </c>
      <c r="G265" s="13"/>
      <c r="H265" s="34">
        <f>SUM(H260:H264)</f>
        <v>-923742.77999999968</v>
      </c>
      <c r="I265" s="13"/>
      <c r="J265" s="30">
        <f>IF(H$12=0,0,H265/H$12)</f>
        <v>-1.3580846732532992</v>
      </c>
      <c r="K265" s="15"/>
      <c r="L265" s="34">
        <f>+D265-H265</f>
        <v>1256987.6199999994</v>
      </c>
      <c r="M265" s="15"/>
      <c r="N265" s="30">
        <f>IF(H265=0,0,L265/H265)</f>
        <v>-1.3607550145073934</v>
      </c>
      <c r="O265" s="25"/>
      <c r="P265" s="34">
        <f>SUM(P260:P264)</f>
        <v>-224306.75999999771</v>
      </c>
      <c r="Q265" s="13"/>
      <c r="R265" s="30">
        <f>IF(P$12=0,0,P265/P$12)</f>
        <v>-2.8496806901337709E-2</v>
      </c>
      <c r="S265" s="13"/>
      <c r="T265" s="34">
        <f>SUM(T260:T264)</f>
        <v>-1374265.1100000041</v>
      </c>
      <c r="U265" s="13"/>
      <c r="V265" s="30">
        <f>IF(T$12=0,0,T265/T$12)</f>
        <v>-0.32230408188137871</v>
      </c>
      <c r="W265" s="15"/>
      <c r="X265" s="34">
        <f>+P265-T265</f>
        <v>1149958.3500000064</v>
      </c>
      <c r="Y265" s="15"/>
      <c r="Z265" s="30">
        <f>IF(T265=0,0,X265/T265)</f>
        <v>-0.83678057576532883</v>
      </c>
    </row>
    <row r="266" spans="1:26" ht="15.75" thickTop="1" x14ac:dyDescent="0.25">
      <c r="A266" s="9"/>
      <c r="C266" s="9"/>
      <c r="D266" s="18"/>
      <c r="E266" s="18"/>
      <c r="G266" s="18"/>
      <c r="H266" s="18"/>
      <c r="I266" s="18"/>
      <c r="J266" s="42"/>
      <c r="K266" s="18"/>
      <c r="L266" s="18"/>
      <c r="M266" s="18"/>
      <c r="P266" s="18"/>
      <c r="Q266" s="18"/>
      <c r="R266" s="42"/>
      <c r="S266" s="18"/>
      <c r="T266" s="18"/>
      <c r="U266" s="18"/>
      <c r="V266" s="42"/>
      <c r="W266" s="18"/>
      <c r="X266" s="18"/>
    </row>
    <row r="267" spans="1:26" x14ac:dyDescent="0.25">
      <c r="A267" s="9"/>
      <c r="B267" s="61">
        <v>44517.966979363424</v>
      </c>
      <c r="D267" s="18"/>
      <c r="E267" s="18"/>
      <c r="G267" s="18"/>
      <c r="H267" s="18"/>
      <c r="I267" s="18"/>
      <c r="J267" s="42"/>
      <c r="K267" s="18"/>
      <c r="L267" s="18"/>
      <c r="M267" s="18"/>
      <c r="P267" s="18"/>
      <c r="Q267" s="18"/>
      <c r="R267" s="42"/>
      <c r="S267" s="18"/>
      <c r="T267" s="18"/>
      <c r="U267" s="18"/>
      <c r="V267" s="42"/>
      <c r="W267" s="18"/>
      <c r="X267" s="18"/>
    </row>
    <row r="268" spans="1:26" x14ac:dyDescent="0.25">
      <c r="A268" s="9"/>
      <c r="B268" s="57" t="s">
        <v>56</v>
      </c>
      <c r="D268" s="18"/>
      <c r="E268" s="18"/>
      <c r="G268" s="18"/>
      <c r="H268" s="18"/>
      <c r="I268" s="18"/>
      <c r="J268" s="42"/>
      <c r="K268" s="18"/>
      <c r="L268" s="18"/>
      <c r="M268" s="18"/>
      <c r="P268" s="18"/>
      <c r="Q268" s="18"/>
      <c r="R268" s="42"/>
      <c r="S268" s="18"/>
      <c r="T268" s="18"/>
      <c r="U268" s="18"/>
      <c r="V268" s="42"/>
      <c r="W268" s="18"/>
      <c r="X268" s="18"/>
    </row>
    <row r="269" spans="1:26" x14ac:dyDescent="0.25">
      <c r="A269" s="9"/>
      <c r="B269" s="58"/>
      <c r="D269" s="18"/>
      <c r="E269" s="18"/>
      <c r="G269" s="18"/>
      <c r="H269" s="18"/>
      <c r="I269" s="18"/>
      <c r="J269" s="42"/>
      <c r="K269" s="18"/>
      <c r="L269" s="18"/>
      <c r="M269" s="18"/>
      <c r="P269" s="18"/>
      <c r="Q269" s="18"/>
      <c r="R269" s="42"/>
      <c r="S269" s="18"/>
      <c r="T269" s="18"/>
      <c r="U269" s="18"/>
      <c r="V269" s="42"/>
      <c r="W269" s="18"/>
      <c r="X269" s="18"/>
    </row>
    <row r="270" spans="1:26" x14ac:dyDescent="0.25">
      <c r="D270" s="18"/>
      <c r="E270" s="18"/>
      <c r="G270" s="18"/>
      <c r="H270" s="18"/>
      <c r="I270" s="18"/>
      <c r="J270" s="42"/>
      <c r="K270" s="18"/>
      <c r="L270" s="18"/>
      <c r="M270" s="18"/>
      <c r="P270" s="18"/>
      <c r="Q270" s="18"/>
      <c r="R270" s="42"/>
      <c r="S270" s="18"/>
      <c r="T270" s="18"/>
      <c r="U270" s="18"/>
      <c r="V270" s="42"/>
      <c r="W270" s="18"/>
      <c r="X270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55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182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182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SUM(0)</f>
        <v>0</v>
      </c>
      <c r="E18" s="21"/>
      <c r="F18" s="36">
        <f>IF(D$12=0,0,D18/D$12)</f>
        <v>0</v>
      </c>
      <c r="G18" s="21"/>
      <c r="H18" s="21">
        <f>SUM(0)</f>
        <v>0</v>
      </c>
      <c r="I18" s="21"/>
      <c r="J18" s="36">
        <f>IF(H$12=0,0,H18/H$12)</f>
        <v>0</v>
      </c>
      <c r="K18" s="4"/>
      <c r="L18" s="21">
        <f>+D18-H18</f>
        <v>0</v>
      </c>
      <c r="M18" s="4"/>
      <c r="N18" s="36">
        <f>IF(H18=0,0,L18/H18)</f>
        <v>0</v>
      </c>
      <c r="O18" s="10"/>
      <c r="P18" s="21">
        <f>SUM(0)</f>
        <v>0</v>
      </c>
      <c r="Q18" s="21"/>
      <c r="R18" s="36">
        <f>IF(P$12=0,0,P18/P$12)</f>
        <v>0</v>
      </c>
      <c r="S18" s="21"/>
      <c r="T18" s="21">
        <f>SUM(0)</f>
        <v>0</v>
      </c>
      <c r="U18" s="21"/>
      <c r="V18" s="36">
        <f>IF(T$12=0,0,T18/T$12)</f>
        <v>0</v>
      </c>
      <c r="W18" s="4"/>
      <c r="X18" s="21">
        <f>+P18-T18</f>
        <v>0</v>
      </c>
      <c r="Y18" s="4"/>
      <c r="Z18" s="36">
        <f>IF(T18=0,0,X18/T18)</f>
        <v>0</v>
      </c>
    </row>
    <row r="19" spans="1:26" s="56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276</v>
      </c>
      <c r="C22" s="26"/>
      <c r="D22" s="22">
        <f>+D16-D18+D20</f>
        <v>0</v>
      </c>
      <c r="E22" s="13"/>
      <c r="F22" s="20">
        <f>IF(D$12=0,0,D22/D$12)</f>
        <v>0</v>
      </c>
      <c r="G22" s="13"/>
      <c r="H22" s="22">
        <f>+H16-H18+H20</f>
        <v>0</v>
      </c>
      <c r="I22" s="13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5"/>
      <c r="P22" s="22">
        <f>+P16-P18+P20</f>
        <v>0</v>
      </c>
      <c r="Q22" s="13"/>
      <c r="R22" s="20">
        <f>IF(P$12=0,0,P22/P$12)</f>
        <v>0</v>
      </c>
      <c r="S22" s="13"/>
      <c r="T22" s="22">
        <f>+T16-T18+T20</f>
        <v>0</v>
      </c>
      <c r="U22" s="13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125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5"/>
      <c r="L26" s="33">
        <f>D26-H26</f>
        <v>0</v>
      </c>
      <c r="M26" s="15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5"/>
      <c r="X26" s="33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183</v>
      </c>
      <c r="C28" s="10"/>
      <c r="D28" s="4">
        <f>--337591.35</f>
        <v>337591.35</v>
      </c>
      <c r="E28" s="4"/>
      <c r="F28" s="12">
        <f t="shared" ref="F28:F29" si="0">IF(D$12=0,0,D28/D$12)</f>
        <v>0</v>
      </c>
      <c r="G28" s="4"/>
      <c r="H28" s="4">
        <f>-139066.28</f>
        <v>-139066.28</v>
      </c>
      <c r="I28" s="4"/>
      <c r="J28" s="12">
        <f t="shared" ref="J28:J29" si="1">IF(H$12=0,0,H28/H$12)</f>
        <v>0</v>
      </c>
      <c r="K28" s="4"/>
      <c r="L28" s="4">
        <f t="shared" ref="L28:L29" si="2">+D28-H28</f>
        <v>476657.63</v>
      </c>
      <c r="M28" s="4"/>
      <c r="N28" s="12">
        <f t="shared" ref="N28:N29" si="3">IF(H28=0,0,L28/H28)</f>
        <v>-3.4275572050967353</v>
      </c>
      <c r="O28" s="10"/>
      <c r="P28" s="4">
        <f>--117981.78</f>
        <v>117981.78</v>
      </c>
      <c r="Q28" s="4"/>
      <c r="R28" s="12">
        <f t="shared" ref="R28:R29" si="4">IF(P$12=0,0,P28/P$12)</f>
        <v>0</v>
      </c>
      <c r="S28" s="4"/>
      <c r="T28" s="4">
        <f>--580692.78</f>
        <v>580692.78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-462711</v>
      </c>
      <c r="Y28" s="4"/>
      <c r="Z28" s="12">
        <f t="shared" ref="Z28:Z29" si="7">IF(T28=0,0,X28/T28)</f>
        <v>-0.79682581898125193</v>
      </c>
    </row>
    <row r="29" spans="1:26" s="23" customFormat="1" x14ac:dyDescent="0.25">
      <c r="A29" s="51"/>
      <c r="B29" s="10" t="s">
        <v>81</v>
      </c>
      <c r="C29" s="10"/>
      <c r="D29" s="4">
        <f>--10527.25</f>
        <v>10527.25</v>
      </c>
      <c r="E29" s="4"/>
      <c r="F29" s="12">
        <f t="shared" si="0"/>
        <v>0</v>
      </c>
      <c r="G29" s="4"/>
      <c r="H29" s="4">
        <f>--10141.14</f>
        <v>10141.14</v>
      </c>
      <c r="I29" s="4"/>
      <c r="J29" s="12">
        <f t="shared" si="1"/>
        <v>0</v>
      </c>
      <c r="K29" s="4"/>
      <c r="L29" s="4">
        <f t="shared" si="2"/>
        <v>386.11000000000058</v>
      </c>
      <c r="M29" s="4"/>
      <c r="N29" s="12">
        <f t="shared" si="3"/>
        <v>3.8073628803073481E-2</v>
      </c>
      <c r="O29" s="10"/>
      <c r="P29" s="4">
        <f>--47856.03</f>
        <v>47856.03</v>
      </c>
      <c r="Q29" s="4"/>
      <c r="R29" s="12">
        <f t="shared" si="4"/>
        <v>0</v>
      </c>
      <c r="S29" s="4"/>
      <c r="T29" s="4">
        <f>-23119.82</f>
        <v>-23119.82</v>
      </c>
      <c r="U29" s="4"/>
      <c r="V29" s="12">
        <f t="shared" si="5"/>
        <v>0</v>
      </c>
      <c r="W29" s="4"/>
      <c r="X29" s="4">
        <f t="shared" si="6"/>
        <v>70975.850000000006</v>
      </c>
      <c r="Y29" s="4"/>
      <c r="Z29" s="12">
        <f t="shared" si="7"/>
        <v>-3.0699136065938233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293</v>
      </c>
      <c r="C31" s="26"/>
      <c r="D31" s="34">
        <f>SUM(D26:D30)</f>
        <v>348118.6</v>
      </c>
      <c r="E31" s="13"/>
      <c r="F31" s="30">
        <f>IF(D$12=0,0,D31/D$12)</f>
        <v>0</v>
      </c>
      <c r="G31" s="13"/>
      <c r="H31" s="34">
        <f>SUM(H26:H30)</f>
        <v>-128925.14</v>
      </c>
      <c r="I31" s="13"/>
      <c r="J31" s="30">
        <f>IF(H$12=0,0,H31/H$12)</f>
        <v>0</v>
      </c>
      <c r="K31" s="15"/>
      <c r="L31" s="34">
        <f>+D31-H31</f>
        <v>477043.74</v>
      </c>
      <c r="M31" s="15"/>
      <c r="N31" s="30">
        <f>IF(H31=0,0,L31/H31)</f>
        <v>-3.7001607289315332</v>
      </c>
      <c r="O31" s="25"/>
      <c r="P31" s="34">
        <f>SUM(P26:P30)</f>
        <v>165837.81</v>
      </c>
      <c r="Q31" s="13"/>
      <c r="R31" s="30">
        <f>IF(P$12=0,0,P31/P$12)</f>
        <v>0</v>
      </c>
      <c r="S31" s="13"/>
      <c r="T31" s="34">
        <f>SUM(T26:T30)</f>
        <v>557572.96000000008</v>
      </c>
      <c r="U31" s="13"/>
      <c r="V31" s="30">
        <f>IF(T$12=0,0,T31/T$12)</f>
        <v>0</v>
      </c>
      <c r="W31" s="15"/>
      <c r="X31" s="34">
        <f>+P31-T31</f>
        <v>-391735.15000000008</v>
      </c>
      <c r="Y31" s="15"/>
      <c r="Z31" s="30">
        <f>IF(T31=0,0,X31/T31)</f>
        <v>-0.70257200062212488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1">
        <v>44517.967041516204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7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138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248611.91999999993</v>
      </c>
      <c r="E18" s="21"/>
      <c r="F18" s="36">
        <f t="shared" ref="F18:F29" si="0">IF(D$12=0,0,D18/D$12)</f>
        <v>0</v>
      </c>
      <c r="G18" s="21"/>
      <c r="H18" s="21">
        <f>SUM(OSRRefH22x_0)</f>
        <v>259749.95</v>
      </c>
      <c r="I18" s="21"/>
      <c r="J18" s="36">
        <f t="shared" ref="J18:J29" si="1">IF(H$12=0,0,H18/H$12)</f>
        <v>0</v>
      </c>
      <c r="K18" s="4"/>
      <c r="L18" s="21">
        <f t="shared" ref="L18:L29" si="2">+D18-H18</f>
        <v>-11138.030000000086</v>
      </c>
      <c r="M18" s="4"/>
      <c r="N18" s="36">
        <f t="shared" ref="N18:N29" si="3">IF(H18=0,0,L18/H18)</f>
        <v>-4.2879815761273816E-2</v>
      </c>
      <c r="O18" s="10"/>
      <c r="P18" s="21">
        <f>SUM(OSRRefP22x_0)</f>
        <v>909856.62000000011</v>
      </c>
      <c r="Q18" s="21"/>
      <c r="R18" s="36">
        <f t="shared" ref="R18:R29" si="4">IF(P$12=0,0,P18/P$12)</f>
        <v>0</v>
      </c>
      <c r="S18" s="21"/>
      <c r="T18" s="21">
        <f>SUM(OSRRefT22x_0)</f>
        <v>923647.69000000029</v>
      </c>
      <c r="U18" s="21"/>
      <c r="V18" s="36">
        <f t="shared" ref="V18:V29" si="5">IF(T$12=0,0,T18/T$12)</f>
        <v>0</v>
      </c>
      <c r="W18" s="4"/>
      <c r="X18" s="21">
        <f t="shared" ref="X18:X29" si="6">+P18-T18</f>
        <v>-13791.070000000182</v>
      </c>
      <c r="Y18" s="4"/>
      <c r="Z18" s="36">
        <f t="shared" ref="Z18:Z29" si="7">IF(T18=0,0,X18/T18)</f>
        <v>-1.4931093477860782E-2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92044.4</v>
      </c>
      <c r="E19" s="1"/>
      <c r="F19" s="5">
        <f t="shared" si="0"/>
        <v>0</v>
      </c>
      <c r="G19" s="1"/>
      <c r="H19" s="1">
        <f>SUM(OSRRefH22_0x_0)</f>
        <v>93001.400000000009</v>
      </c>
      <c r="I19" s="1"/>
      <c r="J19" s="5">
        <f t="shared" si="1"/>
        <v>0</v>
      </c>
      <c r="K19" s="1"/>
      <c r="L19" s="1">
        <f t="shared" si="2"/>
        <v>-957.00000000001455</v>
      </c>
      <c r="M19" s="1"/>
      <c r="N19" s="5">
        <f t="shared" si="3"/>
        <v>-1.0290167674895372E-2</v>
      </c>
      <c r="O19" s="14"/>
      <c r="P19" s="1">
        <f>SUM(OSRRefP22_0x_0)</f>
        <v>328819.82999999996</v>
      </c>
      <c r="Q19" s="1"/>
      <c r="R19" s="5">
        <f t="shared" si="4"/>
        <v>0</v>
      </c>
      <c r="S19" s="1"/>
      <c r="T19" s="1">
        <f>SUM(OSRRefT22_0x_0)</f>
        <v>339578.91</v>
      </c>
      <c r="U19" s="1"/>
      <c r="V19" s="5">
        <f t="shared" si="5"/>
        <v>0</v>
      </c>
      <c r="W19" s="1"/>
      <c r="X19" s="1">
        <f t="shared" si="6"/>
        <v>-10759.080000000016</v>
      </c>
      <c r="Y19" s="1"/>
      <c r="Z19" s="5">
        <f t="shared" si="7"/>
        <v>-3.1683593071195199E-2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10280.790000000001</v>
      </c>
      <c r="E20" s="2"/>
      <c r="F20" s="7">
        <f t="shared" si="0"/>
        <v>0</v>
      </c>
      <c r="G20" s="2"/>
      <c r="H20" s="6">
        <v>13501.48</v>
      </c>
      <c r="I20" s="2"/>
      <c r="J20" s="7">
        <f t="shared" si="1"/>
        <v>0</v>
      </c>
      <c r="K20" s="2"/>
      <c r="L20" s="6">
        <f t="shared" si="2"/>
        <v>-3220.6899999999987</v>
      </c>
      <c r="M20" s="2"/>
      <c r="N20" s="7">
        <f t="shared" si="3"/>
        <v>-0.23854347819646429</v>
      </c>
      <c r="O20" s="11"/>
      <c r="P20" s="6">
        <v>32345.279999999999</v>
      </c>
      <c r="Q20" s="2"/>
      <c r="R20" s="7">
        <f t="shared" si="4"/>
        <v>0</v>
      </c>
      <c r="S20" s="2"/>
      <c r="T20" s="6">
        <v>35476.550000000003</v>
      </c>
      <c r="U20" s="2"/>
      <c r="V20" s="7">
        <f t="shared" si="5"/>
        <v>0</v>
      </c>
      <c r="W20" s="2"/>
      <c r="X20" s="6">
        <f t="shared" si="6"/>
        <v>-3131.2700000000041</v>
      </c>
      <c r="Y20" s="2"/>
      <c r="Z20" s="7">
        <f t="shared" si="7"/>
        <v>-8.8263092098865417E-2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2173.87</v>
      </c>
      <c r="E21" s="2"/>
      <c r="F21" s="7">
        <f t="shared" si="0"/>
        <v>0</v>
      </c>
      <c r="G21" s="2"/>
      <c r="H21" s="6">
        <v>593.14</v>
      </c>
      <c r="I21" s="2"/>
      <c r="J21" s="7">
        <f t="shared" si="1"/>
        <v>0</v>
      </c>
      <c r="K21" s="2"/>
      <c r="L21" s="6">
        <f t="shared" si="2"/>
        <v>1580.73</v>
      </c>
      <c r="M21" s="2"/>
      <c r="N21" s="7">
        <f t="shared" si="3"/>
        <v>2.665020062717065</v>
      </c>
      <c r="O21" s="11"/>
      <c r="P21" s="6">
        <v>6459.38</v>
      </c>
      <c r="Q21" s="2"/>
      <c r="R21" s="7">
        <f t="shared" si="4"/>
        <v>0</v>
      </c>
      <c r="S21" s="2"/>
      <c r="T21" s="6">
        <v>2381.84</v>
      </c>
      <c r="U21" s="2"/>
      <c r="V21" s="7">
        <f t="shared" si="5"/>
        <v>0</v>
      </c>
      <c r="W21" s="2"/>
      <c r="X21" s="6">
        <f t="shared" si="6"/>
        <v>4077.54</v>
      </c>
      <c r="Y21" s="2"/>
      <c r="Z21" s="7">
        <f t="shared" si="7"/>
        <v>1.7119285930205219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22410.55</v>
      </c>
      <c r="E22" s="2"/>
      <c r="F22" s="7">
        <f t="shared" si="0"/>
        <v>0</v>
      </c>
      <c r="G22" s="2"/>
      <c r="H22" s="6">
        <v>23374.05</v>
      </c>
      <c r="I22" s="2"/>
      <c r="J22" s="7">
        <f t="shared" si="1"/>
        <v>0</v>
      </c>
      <c r="K22" s="2"/>
      <c r="L22" s="6">
        <f t="shared" si="2"/>
        <v>-963.5</v>
      </c>
      <c r="M22" s="2"/>
      <c r="N22" s="7">
        <f t="shared" si="3"/>
        <v>-4.1220926625894959E-2</v>
      </c>
      <c r="O22" s="11"/>
      <c r="P22" s="6">
        <v>89975.64</v>
      </c>
      <c r="Q22" s="2"/>
      <c r="R22" s="7">
        <f t="shared" si="4"/>
        <v>0</v>
      </c>
      <c r="S22" s="2"/>
      <c r="T22" s="6">
        <v>91351.84</v>
      </c>
      <c r="U22" s="2"/>
      <c r="V22" s="7">
        <f t="shared" si="5"/>
        <v>0</v>
      </c>
      <c r="W22" s="2"/>
      <c r="X22" s="6">
        <f t="shared" si="6"/>
        <v>-1376.1999999999971</v>
      </c>
      <c r="Y22" s="2"/>
      <c r="Z22" s="7">
        <f t="shared" si="7"/>
        <v>-1.5064830659130644E-2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383.7</v>
      </c>
      <c r="E23" s="2"/>
      <c r="F23" s="7">
        <f t="shared" si="0"/>
        <v>0</v>
      </c>
      <c r="G23" s="2"/>
      <c r="H23" s="6">
        <v>252.63</v>
      </c>
      <c r="I23" s="2"/>
      <c r="J23" s="7">
        <f t="shared" si="1"/>
        <v>0</v>
      </c>
      <c r="K23" s="2"/>
      <c r="L23" s="6">
        <f t="shared" si="2"/>
        <v>131.07</v>
      </c>
      <c r="M23" s="2"/>
      <c r="N23" s="7">
        <f t="shared" si="3"/>
        <v>0.51882199263745399</v>
      </c>
      <c r="O23" s="11"/>
      <c r="P23" s="6">
        <v>1137.8</v>
      </c>
      <c r="Q23" s="2"/>
      <c r="R23" s="7">
        <f t="shared" si="4"/>
        <v>0</v>
      </c>
      <c r="S23" s="2"/>
      <c r="T23" s="6">
        <v>1015.97</v>
      </c>
      <c r="U23" s="2"/>
      <c r="V23" s="7">
        <f t="shared" si="5"/>
        <v>0</v>
      </c>
      <c r="W23" s="2"/>
      <c r="X23" s="6">
        <f t="shared" si="6"/>
        <v>121.82999999999993</v>
      </c>
      <c r="Y23" s="2"/>
      <c r="Z23" s="7">
        <f t="shared" si="7"/>
        <v>0.11991495811884202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11246.93</v>
      </c>
      <c r="E24" s="2"/>
      <c r="F24" s="7">
        <f t="shared" si="0"/>
        <v>0</v>
      </c>
      <c r="G24" s="2"/>
      <c r="H24" s="6">
        <v>7443.75</v>
      </c>
      <c r="I24" s="2"/>
      <c r="J24" s="7">
        <f t="shared" si="1"/>
        <v>0</v>
      </c>
      <c r="K24" s="2"/>
      <c r="L24" s="6">
        <f t="shared" si="2"/>
        <v>3803.1800000000003</v>
      </c>
      <c r="M24" s="2"/>
      <c r="N24" s="7">
        <f t="shared" si="3"/>
        <v>0.5109225860621327</v>
      </c>
      <c r="O24" s="11"/>
      <c r="P24" s="6">
        <v>33740.78</v>
      </c>
      <c r="Q24" s="2"/>
      <c r="R24" s="7">
        <f t="shared" si="4"/>
        <v>0</v>
      </c>
      <c r="S24" s="2"/>
      <c r="T24" s="6">
        <v>33496.89</v>
      </c>
      <c r="U24" s="2"/>
      <c r="V24" s="7">
        <f t="shared" si="5"/>
        <v>0</v>
      </c>
      <c r="W24" s="2"/>
      <c r="X24" s="6">
        <f t="shared" si="6"/>
        <v>243.88999999999942</v>
      </c>
      <c r="Y24" s="2"/>
      <c r="Z24" s="7">
        <f t="shared" si="7"/>
        <v>7.2809744427019766E-3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6">
        <v>631.9</v>
      </c>
      <c r="E25" s="2"/>
      <c r="F25" s="7">
        <f t="shared" si="0"/>
        <v>0</v>
      </c>
      <c r="G25" s="2"/>
      <c r="H25" s="6">
        <v>753.23</v>
      </c>
      <c r="I25" s="2"/>
      <c r="J25" s="7">
        <f t="shared" si="1"/>
        <v>0</v>
      </c>
      <c r="K25" s="2"/>
      <c r="L25" s="6">
        <f t="shared" si="2"/>
        <v>-121.33000000000004</v>
      </c>
      <c r="M25" s="2"/>
      <c r="N25" s="7">
        <f t="shared" si="3"/>
        <v>-0.1610796171156221</v>
      </c>
      <c r="O25" s="11"/>
      <c r="P25" s="6">
        <v>2482.33</v>
      </c>
      <c r="Q25" s="2"/>
      <c r="R25" s="7">
        <f t="shared" si="4"/>
        <v>0</v>
      </c>
      <c r="S25" s="2"/>
      <c r="T25" s="6">
        <v>3417.52</v>
      </c>
      <c r="U25" s="2"/>
      <c r="V25" s="7">
        <f t="shared" si="5"/>
        <v>0</v>
      </c>
      <c r="W25" s="2"/>
      <c r="X25" s="6">
        <f t="shared" si="6"/>
        <v>-935.19</v>
      </c>
      <c r="Y25" s="2"/>
      <c r="Z25" s="7">
        <f t="shared" si="7"/>
        <v>-0.27364580163393337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9086.93</v>
      </c>
      <c r="E26" s="2"/>
      <c r="F26" s="7">
        <f t="shared" si="0"/>
        <v>0</v>
      </c>
      <c r="G26" s="2"/>
      <c r="H26" s="6">
        <v>9367.15</v>
      </c>
      <c r="I26" s="2"/>
      <c r="J26" s="7">
        <f t="shared" si="1"/>
        <v>0</v>
      </c>
      <c r="K26" s="2"/>
      <c r="L26" s="6">
        <f t="shared" si="2"/>
        <v>-280.21999999999935</v>
      </c>
      <c r="M26" s="2"/>
      <c r="N26" s="7">
        <f t="shared" si="3"/>
        <v>-2.9915182312656396E-2</v>
      </c>
      <c r="O26" s="11"/>
      <c r="P26" s="6">
        <v>28114.83</v>
      </c>
      <c r="Q26" s="2"/>
      <c r="R26" s="7">
        <f t="shared" si="4"/>
        <v>0</v>
      </c>
      <c r="S26" s="2"/>
      <c r="T26" s="6">
        <v>27986.240000000002</v>
      </c>
      <c r="U26" s="2"/>
      <c r="V26" s="7">
        <f t="shared" si="5"/>
        <v>0</v>
      </c>
      <c r="W26" s="2"/>
      <c r="X26" s="6">
        <f t="shared" si="6"/>
        <v>128.59000000000015</v>
      </c>
      <c r="Y26" s="2"/>
      <c r="Z26" s="7">
        <f t="shared" si="7"/>
        <v>4.5947579953577239E-3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6384.72</v>
      </c>
      <c r="E27" s="2"/>
      <c r="F27" s="7">
        <f t="shared" si="0"/>
        <v>0</v>
      </c>
      <c r="G27" s="2"/>
      <c r="H27" s="6">
        <v>6237.75</v>
      </c>
      <c r="I27" s="2"/>
      <c r="J27" s="7">
        <f t="shared" si="1"/>
        <v>0</v>
      </c>
      <c r="K27" s="2"/>
      <c r="L27" s="6">
        <f t="shared" si="2"/>
        <v>146.97000000000025</v>
      </c>
      <c r="M27" s="2"/>
      <c r="N27" s="7">
        <f t="shared" si="3"/>
        <v>2.3561380305398623E-2</v>
      </c>
      <c r="O27" s="11"/>
      <c r="P27" s="6">
        <v>19154.16</v>
      </c>
      <c r="Q27" s="2"/>
      <c r="R27" s="7">
        <f t="shared" si="4"/>
        <v>0</v>
      </c>
      <c r="S27" s="2"/>
      <c r="T27" s="6">
        <v>18713.25</v>
      </c>
      <c r="U27" s="2"/>
      <c r="V27" s="7">
        <f t="shared" si="5"/>
        <v>0</v>
      </c>
      <c r="W27" s="2"/>
      <c r="X27" s="6">
        <f t="shared" si="6"/>
        <v>440.90999999999985</v>
      </c>
      <c r="Y27" s="2"/>
      <c r="Z27" s="7">
        <f t="shared" si="7"/>
        <v>2.3561380305398574E-2</v>
      </c>
    </row>
    <row r="28" spans="1:26" s="24" customFormat="1" hidden="1" outlineLevel="2" x14ac:dyDescent="0.25">
      <c r="A28" s="29"/>
      <c r="B28" s="11" t="str">
        <f>CONCATENATE("          ", "6120", " - ", "RETIREES HEALTH INSURANCE")</f>
        <v xml:space="preserve">          6120 - RETIREES HEALTH INSURANCE</v>
      </c>
      <c r="C28" s="11"/>
      <c r="D28" s="6">
        <v>27236.080000000002</v>
      </c>
      <c r="E28" s="2"/>
      <c r="F28" s="7">
        <f t="shared" si="0"/>
        <v>0</v>
      </c>
      <c r="G28" s="2"/>
      <c r="H28" s="6">
        <v>30642.67</v>
      </c>
      <c r="I28" s="2"/>
      <c r="J28" s="7">
        <f t="shared" si="1"/>
        <v>0</v>
      </c>
      <c r="K28" s="2"/>
      <c r="L28" s="6">
        <f t="shared" si="2"/>
        <v>-3406.5899999999965</v>
      </c>
      <c r="M28" s="2"/>
      <c r="N28" s="7">
        <f t="shared" si="3"/>
        <v>-0.11117144817993982</v>
      </c>
      <c r="O28" s="11"/>
      <c r="P28" s="6">
        <v>109657.26</v>
      </c>
      <c r="Q28" s="2"/>
      <c r="R28" s="7">
        <f t="shared" si="4"/>
        <v>0</v>
      </c>
      <c r="S28" s="2"/>
      <c r="T28" s="6">
        <v>122405.68</v>
      </c>
      <c r="U28" s="2"/>
      <c r="V28" s="7">
        <f t="shared" si="5"/>
        <v>0</v>
      </c>
      <c r="W28" s="2"/>
      <c r="X28" s="6">
        <f t="shared" si="6"/>
        <v>-12748.419999999998</v>
      </c>
      <c r="Y28" s="2"/>
      <c r="Z28" s="7">
        <f t="shared" si="7"/>
        <v>-0.10414892511523974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2208.9299999999998</v>
      </c>
      <c r="E29" s="2"/>
      <c r="F29" s="7">
        <f t="shared" si="0"/>
        <v>0</v>
      </c>
      <c r="G29" s="2"/>
      <c r="H29" s="6">
        <v>835.55</v>
      </c>
      <c r="I29" s="2"/>
      <c r="J29" s="7">
        <f t="shared" si="1"/>
        <v>0</v>
      </c>
      <c r="K29" s="2"/>
      <c r="L29" s="6">
        <f t="shared" si="2"/>
        <v>1373.3799999999999</v>
      </c>
      <c r="M29" s="2"/>
      <c r="N29" s="7">
        <f t="shared" si="3"/>
        <v>1.6436838010891028</v>
      </c>
      <c r="O29" s="11"/>
      <c r="P29" s="6">
        <v>5752.37</v>
      </c>
      <c r="Q29" s="2"/>
      <c r="R29" s="7">
        <f t="shared" si="4"/>
        <v>0</v>
      </c>
      <c r="S29" s="2"/>
      <c r="T29" s="6">
        <v>3333.13</v>
      </c>
      <c r="U29" s="2"/>
      <c r="V29" s="7">
        <f t="shared" si="5"/>
        <v>0</v>
      </c>
      <c r="W29" s="2"/>
      <c r="X29" s="6">
        <f t="shared" si="6"/>
        <v>2419.2399999999998</v>
      </c>
      <c r="Y29" s="2"/>
      <c r="Z29" s="7">
        <f t="shared" si="7"/>
        <v>0.72581627479276223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86103.92</v>
      </c>
      <c r="E30" s="1"/>
      <c r="F30" s="5">
        <f t="shared" ref="F30:F36" si="8">IF(D$12=0,0,D30/D$12)</f>
        <v>0</v>
      </c>
      <c r="G30" s="1"/>
      <c r="H30" s="1">
        <f>SUM(OSRRefH22_1x_0)</f>
        <v>73755.100000000006</v>
      </c>
      <c r="I30" s="1"/>
      <c r="J30" s="5">
        <f t="shared" ref="J30:J36" si="9">IF(H$12=0,0,H30/H$12)</f>
        <v>0</v>
      </c>
      <c r="K30" s="1"/>
      <c r="L30" s="1">
        <f t="shared" ref="L30:L36" si="10">+D30-H30</f>
        <v>12348.819999999992</v>
      </c>
      <c r="M30" s="1"/>
      <c r="N30" s="5">
        <f t="shared" ref="N30:N36" si="11">IF(H30=0,0,L30/H30)</f>
        <v>0.16743004890509255</v>
      </c>
      <c r="O30" s="14"/>
      <c r="P30" s="1">
        <f>SUM(OSRRefP22_1x_0)</f>
        <v>377238.39</v>
      </c>
      <c r="Q30" s="1"/>
      <c r="R30" s="5">
        <f t="shared" ref="R30:R36" si="12">IF(P$12=0,0,P30/P$12)</f>
        <v>0</v>
      </c>
      <c r="S30" s="1"/>
      <c r="T30" s="1">
        <f>SUM(OSRRefT22_1x_0)</f>
        <v>371552.3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5686.0900000000256</v>
      </c>
      <c r="Y30" s="1"/>
      <c r="Z30" s="5">
        <f t="shared" ref="Z30:Z36" si="15">IF(T30=0,0,X30/T30)</f>
        <v>1.5303605979562032E-2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>
        <v>-902.6</v>
      </c>
      <c r="E31" s="2"/>
      <c r="F31" s="7">
        <f t="shared" si="8"/>
        <v>0</v>
      </c>
      <c r="G31" s="2"/>
      <c r="H31" s="6">
        <v>29168.98</v>
      </c>
      <c r="I31" s="2"/>
      <c r="J31" s="7">
        <f t="shared" si="9"/>
        <v>0</v>
      </c>
      <c r="K31" s="2"/>
      <c r="L31" s="6">
        <f t="shared" si="10"/>
        <v>-30071.579999999998</v>
      </c>
      <c r="M31" s="2"/>
      <c r="N31" s="7">
        <f t="shared" si="11"/>
        <v>-1.0309438314263988</v>
      </c>
      <c r="O31" s="11"/>
      <c r="P31" s="6">
        <v>71436.86</v>
      </c>
      <c r="Q31" s="2"/>
      <c r="R31" s="7">
        <f t="shared" si="12"/>
        <v>0</v>
      </c>
      <c r="S31" s="2"/>
      <c r="T31" s="6">
        <v>101274.51</v>
      </c>
      <c r="U31" s="2"/>
      <c r="V31" s="7">
        <f t="shared" si="13"/>
        <v>0</v>
      </c>
      <c r="W31" s="2"/>
      <c r="X31" s="6">
        <f t="shared" si="14"/>
        <v>-29837.649999999994</v>
      </c>
      <c r="Y31" s="2"/>
      <c r="Z31" s="7">
        <f t="shared" si="15"/>
        <v>-0.2946215192746921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>
        <v>58316.31</v>
      </c>
      <c r="E32" s="2"/>
      <c r="F32" s="7">
        <f t="shared" si="8"/>
        <v>0</v>
      </c>
      <c r="G32" s="2"/>
      <c r="H32" s="6">
        <v>57855.56</v>
      </c>
      <c r="I32" s="2"/>
      <c r="J32" s="7">
        <f t="shared" si="9"/>
        <v>0</v>
      </c>
      <c r="K32" s="2"/>
      <c r="L32" s="6">
        <f t="shared" si="10"/>
        <v>460.75</v>
      </c>
      <c r="M32" s="2"/>
      <c r="N32" s="7">
        <f t="shared" si="11"/>
        <v>7.9637981206992035E-3</v>
      </c>
      <c r="O32" s="11"/>
      <c r="P32" s="6">
        <v>206796.18</v>
      </c>
      <c r="Q32" s="2"/>
      <c r="R32" s="7">
        <f t="shared" si="12"/>
        <v>0</v>
      </c>
      <c r="S32" s="2"/>
      <c r="T32" s="6">
        <v>202419.05</v>
      </c>
      <c r="U32" s="2"/>
      <c r="V32" s="7">
        <f t="shared" si="13"/>
        <v>0</v>
      </c>
      <c r="W32" s="2"/>
      <c r="X32" s="6">
        <f t="shared" si="14"/>
        <v>4377.1300000000047</v>
      </c>
      <c r="Y32" s="2"/>
      <c r="Z32" s="7">
        <f t="shared" si="15"/>
        <v>2.1624101091275771E-2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>
        <v>27366.63</v>
      </c>
      <c r="E33" s="2"/>
      <c r="F33" s="7">
        <f t="shared" si="8"/>
        <v>0</v>
      </c>
      <c r="G33" s="2"/>
      <c r="H33" s="6">
        <v>26834.42</v>
      </c>
      <c r="I33" s="2"/>
      <c r="J33" s="7">
        <f t="shared" si="9"/>
        <v>0</v>
      </c>
      <c r="K33" s="2"/>
      <c r="L33" s="6">
        <f t="shared" si="10"/>
        <v>532.21000000000276</v>
      </c>
      <c r="M33" s="2"/>
      <c r="N33" s="7">
        <f t="shared" si="11"/>
        <v>1.9833109864122376E-2</v>
      </c>
      <c r="O33" s="11"/>
      <c r="P33" s="6">
        <v>81884.47</v>
      </c>
      <c r="Q33" s="2"/>
      <c r="R33" s="7">
        <f t="shared" si="12"/>
        <v>0</v>
      </c>
      <c r="S33" s="2"/>
      <c r="T33" s="6">
        <v>80083.3</v>
      </c>
      <c r="U33" s="2"/>
      <c r="V33" s="7">
        <f t="shared" si="13"/>
        <v>0</v>
      </c>
      <c r="W33" s="2"/>
      <c r="X33" s="6">
        <f t="shared" si="14"/>
        <v>1801.1699999999983</v>
      </c>
      <c r="Y33" s="2"/>
      <c r="Z33" s="7">
        <f t="shared" si="15"/>
        <v>2.249120603171945E-2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>
        <v>3267.25</v>
      </c>
      <c r="E34" s="2"/>
      <c r="F34" s="7">
        <f t="shared" si="8"/>
        <v>0</v>
      </c>
      <c r="G34" s="2"/>
      <c r="H34" s="6">
        <v>8940.7999999999993</v>
      </c>
      <c r="I34" s="2"/>
      <c r="J34" s="7">
        <f t="shared" si="9"/>
        <v>0</v>
      </c>
      <c r="K34" s="2"/>
      <c r="L34" s="6">
        <f t="shared" si="10"/>
        <v>-5673.5499999999993</v>
      </c>
      <c r="M34" s="2"/>
      <c r="N34" s="7">
        <f t="shared" si="11"/>
        <v>-0.63456849498926271</v>
      </c>
      <c r="O34" s="11"/>
      <c r="P34" s="6">
        <v>7881.75</v>
      </c>
      <c r="Q34" s="2"/>
      <c r="R34" s="7">
        <f t="shared" si="12"/>
        <v>0</v>
      </c>
      <c r="S34" s="2"/>
      <c r="T34" s="6">
        <v>26655.49</v>
      </c>
      <c r="U34" s="2"/>
      <c r="V34" s="7">
        <f t="shared" si="13"/>
        <v>0</v>
      </c>
      <c r="W34" s="2"/>
      <c r="X34" s="6">
        <f t="shared" si="14"/>
        <v>-18773.740000000002</v>
      </c>
      <c r="Y34" s="2"/>
      <c r="Z34" s="7">
        <f t="shared" si="15"/>
        <v>-0.70431044411488963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6">
        <v>-3177.08</v>
      </c>
      <c r="E35" s="2"/>
      <c r="F35" s="7">
        <f t="shared" si="8"/>
        <v>0</v>
      </c>
      <c r="G35" s="2"/>
      <c r="H35" s="6">
        <v>-50796.29</v>
      </c>
      <c r="I35" s="2"/>
      <c r="J35" s="7">
        <f t="shared" si="9"/>
        <v>0</v>
      </c>
      <c r="K35" s="2"/>
      <c r="L35" s="6">
        <f t="shared" si="10"/>
        <v>47619.21</v>
      </c>
      <c r="M35" s="2"/>
      <c r="N35" s="7">
        <f t="shared" si="11"/>
        <v>-0.93745448732574754</v>
      </c>
      <c r="O35" s="11"/>
      <c r="P35" s="6">
        <v>2030.88</v>
      </c>
      <c r="Q35" s="2"/>
      <c r="R35" s="7">
        <f t="shared" si="12"/>
        <v>0</v>
      </c>
      <c r="S35" s="2"/>
      <c r="T35" s="6">
        <v>-44841.01</v>
      </c>
      <c r="U35" s="2"/>
      <c r="V35" s="7">
        <f t="shared" si="13"/>
        <v>0</v>
      </c>
      <c r="W35" s="2"/>
      <c r="X35" s="6">
        <f t="shared" si="14"/>
        <v>46871.89</v>
      </c>
      <c r="Y35" s="2"/>
      <c r="Z35" s="7">
        <f t="shared" si="15"/>
        <v>-1.0452906836844218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6">
        <v>1233.4100000000001</v>
      </c>
      <c r="E36" s="2"/>
      <c r="F36" s="7">
        <f t="shared" si="8"/>
        <v>0</v>
      </c>
      <c r="G36" s="2"/>
      <c r="H36" s="6">
        <v>1751.63</v>
      </c>
      <c r="I36" s="2"/>
      <c r="J36" s="7">
        <f t="shared" si="9"/>
        <v>0</v>
      </c>
      <c r="K36" s="2"/>
      <c r="L36" s="6">
        <f t="shared" si="10"/>
        <v>-518.22</v>
      </c>
      <c r="M36" s="2"/>
      <c r="N36" s="7">
        <f t="shared" si="11"/>
        <v>-0.29585015100220935</v>
      </c>
      <c r="O36" s="11"/>
      <c r="P36" s="6">
        <v>7208.25</v>
      </c>
      <c r="Q36" s="2"/>
      <c r="R36" s="7">
        <f t="shared" si="12"/>
        <v>0</v>
      </c>
      <c r="S36" s="2"/>
      <c r="T36" s="6">
        <v>5960.96</v>
      </c>
      <c r="U36" s="2"/>
      <c r="V36" s="7">
        <f t="shared" si="13"/>
        <v>0</v>
      </c>
      <c r="W36" s="2"/>
      <c r="X36" s="6">
        <f t="shared" si="14"/>
        <v>1247.29</v>
      </c>
      <c r="Y36" s="2"/>
      <c r="Z36" s="7">
        <f t="shared" si="15"/>
        <v>0.20924314204423447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434.18</v>
      </c>
      <c r="E37" s="1"/>
      <c r="F37" s="5">
        <f t="shared" ref="F37:F53" si="16">IF(D$12=0,0,D37/D$12)</f>
        <v>0</v>
      </c>
      <c r="G37" s="1"/>
      <c r="H37" s="1">
        <f>SUM(OSRRefH22_2x_0)</f>
        <v>173.21</v>
      </c>
      <c r="I37" s="1"/>
      <c r="J37" s="5">
        <f t="shared" ref="J37:J53" si="17">IF(H$12=0,0,H37/H$12)</f>
        <v>0</v>
      </c>
      <c r="K37" s="1"/>
      <c r="L37" s="1">
        <f t="shared" ref="L37:L53" si="18">+D37-H37</f>
        <v>260.97000000000003</v>
      </c>
      <c r="M37" s="1"/>
      <c r="N37" s="5">
        <f t="shared" ref="N37:N53" si="19">IF(H37=0,0,L37/H37)</f>
        <v>1.5066682062236592</v>
      </c>
      <c r="O37" s="14"/>
      <c r="P37" s="1">
        <f>SUM(OSRRefP22_2x_0)</f>
        <v>1020.62</v>
      </c>
      <c r="Q37" s="1"/>
      <c r="R37" s="5">
        <f t="shared" ref="R37:R53" si="20">IF(P$12=0,0,P37/P$12)</f>
        <v>0</v>
      </c>
      <c r="S37" s="1"/>
      <c r="T37" s="1">
        <f>SUM(OSRRefT22_2x_0)</f>
        <v>586.42999999999995</v>
      </c>
      <c r="U37" s="1"/>
      <c r="V37" s="5">
        <f t="shared" ref="V37:V53" si="21">IF(T$12=0,0,T37/T$12)</f>
        <v>0</v>
      </c>
      <c r="W37" s="1"/>
      <c r="X37" s="1">
        <f t="shared" ref="X37:X53" si="22">+P37-T37</f>
        <v>434.19000000000005</v>
      </c>
      <c r="Y37" s="1"/>
      <c r="Z37" s="5">
        <f t="shared" ref="Z37:Z53" si="23">IF(T37=0,0,X37/T37)</f>
        <v>0.74039527309312292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6">
        <v>434.18</v>
      </c>
      <c r="E38" s="2"/>
      <c r="F38" s="7">
        <f t="shared" si="16"/>
        <v>0</v>
      </c>
      <c r="G38" s="2"/>
      <c r="H38" s="6">
        <v>173.21</v>
      </c>
      <c r="I38" s="2"/>
      <c r="J38" s="7">
        <f t="shared" si="17"/>
        <v>0</v>
      </c>
      <c r="K38" s="2"/>
      <c r="L38" s="6">
        <f t="shared" si="18"/>
        <v>260.97000000000003</v>
      </c>
      <c r="M38" s="2"/>
      <c r="N38" s="7">
        <f t="shared" si="19"/>
        <v>1.5066682062236592</v>
      </c>
      <c r="O38" s="11"/>
      <c r="P38" s="6">
        <v>1020.62</v>
      </c>
      <c r="Q38" s="2"/>
      <c r="R38" s="7">
        <f t="shared" si="20"/>
        <v>0</v>
      </c>
      <c r="S38" s="2"/>
      <c r="T38" s="6">
        <v>586.42999999999995</v>
      </c>
      <c r="U38" s="2"/>
      <c r="V38" s="7">
        <f t="shared" si="21"/>
        <v>0</v>
      </c>
      <c r="W38" s="2"/>
      <c r="X38" s="6">
        <f t="shared" si="22"/>
        <v>434.19000000000005</v>
      </c>
      <c r="Y38" s="2"/>
      <c r="Z38" s="7">
        <f t="shared" si="23"/>
        <v>0.74039527309312292</v>
      </c>
    </row>
    <row r="39" spans="1:26" s="28" customFormat="1" outlineLevel="1" collapsed="1" x14ac:dyDescent="0.25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3111.94</v>
      </c>
      <c r="E39" s="1"/>
      <c r="F39" s="5">
        <f t="shared" si="16"/>
        <v>0</v>
      </c>
      <c r="G39" s="1"/>
      <c r="H39" s="1">
        <f>SUM(OSRRefH22_3x_0)</f>
        <v>1972.94</v>
      </c>
      <c r="I39" s="1"/>
      <c r="J39" s="5">
        <f t="shared" si="17"/>
        <v>0</v>
      </c>
      <c r="K39" s="1"/>
      <c r="L39" s="1">
        <f t="shared" si="18"/>
        <v>1139</v>
      </c>
      <c r="M39" s="1"/>
      <c r="N39" s="5">
        <f t="shared" si="19"/>
        <v>0.57731101807454865</v>
      </c>
      <c r="O39" s="14"/>
      <c r="P39" s="1">
        <f>SUM(OSRRefP22_3x_0)</f>
        <v>5475.8</v>
      </c>
      <c r="Q39" s="1"/>
      <c r="R39" s="5">
        <f t="shared" si="20"/>
        <v>0</v>
      </c>
      <c r="S39" s="1"/>
      <c r="T39" s="1">
        <f>SUM(OSRRefT22_3x_0)</f>
        <v>2910.92</v>
      </c>
      <c r="U39" s="1"/>
      <c r="V39" s="5">
        <f t="shared" si="21"/>
        <v>0</v>
      </c>
      <c r="W39" s="1"/>
      <c r="X39" s="1">
        <f t="shared" si="22"/>
        <v>2564.88</v>
      </c>
      <c r="Y39" s="1"/>
      <c r="Z39" s="5">
        <f t="shared" si="23"/>
        <v>0.88112349360339692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6">
        <v>3111.94</v>
      </c>
      <c r="E40" s="2"/>
      <c r="F40" s="7">
        <f t="shared" si="16"/>
        <v>0</v>
      </c>
      <c r="G40" s="2"/>
      <c r="H40" s="6">
        <v>1972.94</v>
      </c>
      <c r="I40" s="2"/>
      <c r="J40" s="7">
        <f t="shared" si="17"/>
        <v>0</v>
      </c>
      <c r="K40" s="2"/>
      <c r="L40" s="6">
        <f t="shared" si="18"/>
        <v>1139</v>
      </c>
      <c r="M40" s="2"/>
      <c r="N40" s="7">
        <f t="shared" si="19"/>
        <v>0.57731101807454865</v>
      </c>
      <c r="O40" s="11"/>
      <c r="P40" s="6">
        <v>5475.8</v>
      </c>
      <c r="Q40" s="2"/>
      <c r="R40" s="7">
        <f t="shared" si="20"/>
        <v>0</v>
      </c>
      <c r="S40" s="2"/>
      <c r="T40" s="6">
        <v>2910.92</v>
      </c>
      <c r="U40" s="2"/>
      <c r="V40" s="7">
        <f t="shared" si="21"/>
        <v>0</v>
      </c>
      <c r="W40" s="2"/>
      <c r="X40" s="6">
        <f t="shared" si="22"/>
        <v>2564.88</v>
      </c>
      <c r="Y40" s="2"/>
      <c r="Z40" s="7">
        <f t="shared" si="23"/>
        <v>0.88112349360339692</v>
      </c>
    </row>
    <row r="41" spans="1:26" s="28" customFormat="1" outlineLevel="1" collapsed="1" x14ac:dyDescent="0.25">
      <c r="A41" s="27"/>
      <c r="B41" s="14" t="str">
        <f>CONCATENATE("     ","Board                                             ")</f>
        <v xml:space="preserve">     Board                                             </v>
      </c>
      <c r="C41" s="14"/>
      <c r="D41" s="1">
        <f>SUM(OSRRefD22_4x_0)</f>
        <v>1435.83</v>
      </c>
      <c r="E41" s="1"/>
      <c r="F41" s="5">
        <f t="shared" si="16"/>
        <v>0</v>
      </c>
      <c r="G41" s="1"/>
      <c r="H41" s="1">
        <f>SUM(OSRRefH22_4x_0)</f>
        <v>550.16999999999996</v>
      </c>
      <c r="I41" s="1"/>
      <c r="J41" s="5">
        <f t="shared" si="17"/>
        <v>0</v>
      </c>
      <c r="K41" s="1"/>
      <c r="L41" s="1">
        <f t="shared" si="18"/>
        <v>885.66</v>
      </c>
      <c r="M41" s="1"/>
      <c r="N41" s="5">
        <f t="shared" si="19"/>
        <v>1.6097933366050494</v>
      </c>
      <c r="O41" s="14"/>
      <c r="P41" s="1">
        <f>SUM(OSRRefP22_4x_0)</f>
        <v>4759.74</v>
      </c>
      <c r="Q41" s="1"/>
      <c r="R41" s="5">
        <f t="shared" si="20"/>
        <v>0</v>
      </c>
      <c r="S41" s="1"/>
      <c r="T41" s="1">
        <f>SUM(OSRRefT22_4x_0)</f>
        <v>6521.01</v>
      </c>
      <c r="U41" s="1"/>
      <c r="V41" s="5">
        <f t="shared" si="21"/>
        <v>0</v>
      </c>
      <c r="W41" s="1"/>
      <c r="X41" s="1">
        <f t="shared" si="22"/>
        <v>-1761.2700000000004</v>
      </c>
      <c r="Y41" s="1"/>
      <c r="Z41" s="5">
        <f t="shared" si="23"/>
        <v>-0.27009159624045975</v>
      </c>
    </row>
    <row r="42" spans="1:26" s="24" customFormat="1" hidden="1" outlineLevel="2" x14ac:dyDescent="0.25">
      <c r="A42" s="29"/>
      <c r="B42" s="11" t="str">
        <f>CONCATENATE("          ", "6397", " - ", "BOARD EXPENSES")</f>
        <v xml:space="preserve">          6397 - BOARD EXPENSES</v>
      </c>
      <c r="C42" s="11"/>
      <c r="D42" s="6">
        <v>1435.83</v>
      </c>
      <c r="E42" s="2"/>
      <c r="F42" s="7">
        <f t="shared" si="16"/>
        <v>0</v>
      </c>
      <c r="G42" s="2"/>
      <c r="H42" s="6">
        <v>550.16999999999996</v>
      </c>
      <c r="I42" s="2"/>
      <c r="J42" s="7">
        <f t="shared" si="17"/>
        <v>0</v>
      </c>
      <c r="K42" s="2"/>
      <c r="L42" s="6">
        <f t="shared" si="18"/>
        <v>885.66</v>
      </c>
      <c r="M42" s="2"/>
      <c r="N42" s="7">
        <f t="shared" si="19"/>
        <v>1.6097933366050494</v>
      </c>
      <c r="O42" s="11"/>
      <c r="P42" s="6">
        <v>4759.74</v>
      </c>
      <c r="Q42" s="2"/>
      <c r="R42" s="7">
        <f t="shared" si="20"/>
        <v>0</v>
      </c>
      <c r="S42" s="2"/>
      <c r="T42" s="6">
        <v>6521.01</v>
      </c>
      <c r="U42" s="2"/>
      <c r="V42" s="7">
        <f t="shared" si="21"/>
        <v>0</v>
      </c>
      <c r="W42" s="2"/>
      <c r="X42" s="6">
        <f t="shared" si="22"/>
        <v>-1761.2700000000004</v>
      </c>
      <c r="Y42" s="2"/>
      <c r="Z42" s="7">
        <f t="shared" si="23"/>
        <v>-0.27009159624045975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4014.65</v>
      </c>
      <c r="E43" s="1"/>
      <c r="F43" s="5">
        <f t="shared" si="16"/>
        <v>0</v>
      </c>
      <c r="G43" s="1"/>
      <c r="H43" s="1">
        <f>SUM(OSRRefH22_5x_0)</f>
        <v>7222.15</v>
      </c>
      <c r="I43" s="1"/>
      <c r="J43" s="5">
        <f t="shared" si="17"/>
        <v>0</v>
      </c>
      <c r="K43" s="1"/>
      <c r="L43" s="1">
        <f t="shared" si="18"/>
        <v>-3207.4999999999995</v>
      </c>
      <c r="M43" s="1"/>
      <c r="N43" s="5">
        <f t="shared" si="19"/>
        <v>-0.44411982581364273</v>
      </c>
      <c r="O43" s="14"/>
      <c r="P43" s="1">
        <f>SUM(OSRRefP22_5x_0)</f>
        <v>24931</v>
      </c>
      <c r="Q43" s="1"/>
      <c r="R43" s="5">
        <f t="shared" si="20"/>
        <v>0</v>
      </c>
      <c r="S43" s="1"/>
      <c r="T43" s="1">
        <f>SUM(OSRRefT22_5x_0)</f>
        <v>30043.62</v>
      </c>
      <c r="U43" s="1"/>
      <c r="V43" s="5">
        <f t="shared" si="21"/>
        <v>0</v>
      </c>
      <c r="W43" s="1"/>
      <c r="X43" s="1">
        <f t="shared" si="22"/>
        <v>-5112.619999999999</v>
      </c>
      <c r="Y43" s="1"/>
      <c r="Z43" s="5">
        <f t="shared" si="23"/>
        <v>-0.17017323478329174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4014.65</v>
      </c>
      <c r="E44" s="2"/>
      <c r="F44" s="7">
        <f t="shared" si="16"/>
        <v>0</v>
      </c>
      <c r="G44" s="2"/>
      <c r="H44" s="6">
        <v>7222.15</v>
      </c>
      <c r="I44" s="2"/>
      <c r="J44" s="7">
        <f t="shared" si="17"/>
        <v>0</v>
      </c>
      <c r="K44" s="2"/>
      <c r="L44" s="6">
        <f t="shared" si="18"/>
        <v>-3207.4999999999995</v>
      </c>
      <c r="M44" s="2"/>
      <c r="N44" s="7">
        <f t="shared" si="19"/>
        <v>-0.44411982581364273</v>
      </c>
      <c r="O44" s="11"/>
      <c r="P44" s="6">
        <v>24931</v>
      </c>
      <c r="Q44" s="2"/>
      <c r="R44" s="7">
        <f t="shared" si="20"/>
        <v>0</v>
      </c>
      <c r="S44" s="2"/>
      <c r="T44" s="6">
        <v>30043.62</v>
      </c>
      <c r="U44" s="2"/>
      <c r="V44" s="7">
        <f t="shared" si="21"/>
        <v>0</v>
      </c>
      <c r="W44" s="2"/>
      <c r="X44" s="6">
        <f t="shared" si="22"/>
        <v>-5112.619999999999</v>
      </c>
      <c r="Y44" s="2"/>
      <c r="Z44" s="7">
        <f t="shared" si="23"/>
        <v>-0.17017323478329174</v>
      </c>
    </row>
    <row r="45" spans="1:26" s="28" customFormat="1" outlineLevel="1" collapsed="1" x14ac:dyDescent="0.25">
      <c r="A45" s="27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SUM(OSRRefD22_6x_0)</f>
        <v>0</v>
      </c>
      <c r="E45" s="1"/>
      <c r="F45" s="5">
        <f t="shared" si="16"/>
        <v>0</v>
      </c>
      <c r="G45" s="1"/>
      <c r="H45" s="1">
        <f>SUM(OSRRefH22_6x_0)</f>
        <v>25000</v>
      </c>
      <c r="I45" s="1"/>
      <c r="J45" s="5">
        <f t="shared" si="17"/>
        <v>0</v>
      </c>
      <c r="K45" s="1"/>
      <c r="L45" s="1">
        <f t="shared" si="18"/>
        <v>-25000</v>
      </c>
      <c r="M45" s="1"/>
      <c r="N45" s="5">
        <f t="shared" si="19"/>
        <v>-1</v>
      </c>
      <c r="O45" s="14"/>
      <c r="P45" s="1">
        <f>SUM(OSRRefP22_6x_0)</f>
        <v>0</v>
      </c>
      <c r="Q45" s="1"/>
      <c r="R45" s="5">
        <f t="shared" si="20"/>
        <v>0</v>
      </c>
      <c r="S45" s="1"/>
      <c r="T45" s="1">
        <f>SUM(OSRRefT22_6x_0)</f>
        <v>25000</v>
      </c>
      <c r="U45" s="1"/>
      <c r="V45" s="5">
        <f t="shared" si="21"/>
        <v>0</v>
      </c>
      <c r="W45" s="1"/>
      <c r="X45" s="1">
        <f t="shared" si="22"/>
        <v>-25000</v>
      </c>
      <c r="Y45" s="1"/>
      <c r="Z45" s="5">
        <f t="shared" si="23"/>
        <v>-1</v>
      </c>
    </row>
    <row r="46" spans="1:26" s="24" customFormat="1" hidden="1" outlineLevel="2" x14ac:dyDescent="0.25">
      <c r="A46" s="29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16"/>
        <v>0</v>
      </c>
      <c r="G46" s="2"/>
      <c r="H46" s="6">
        <v>25000</v>
      </c>
      <c r="I46" s="2"/>
      <c r="J46" s="7">
        <f t="shared" si="17"/>
        <v>0</v>
      </c>
      <c r="K46" s="2"/>
      <c r="L46" s="6">
        <f t="shared" si="18"/>
        <v>-25000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25000</v>
      </c>
      <c r="U46" s="2"/>
      <c r="V46" s="7">
        <f t="shared" si="21"/>
        <v>0</v>
      </c>
      <c r="W46" s="2"/>
      <c r="X46" s="6">
        <f t="shared" si="22"/>
        <v>-25000</v>
      </c>
      <c r="Y46" s="2"/>
      <c r="Z46" s="7">
        <f t="shared" si="23"/>
        <v>-1</v>
      </c>
    </row>
    <row r="47" spans="1:26" s="28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SUM(OSRRefD22_7x_0)</f>
        <v>0</v>
      </c>
      <c r="E47" s="1"/>
      <c r="F47" s="5">
        <f t="shared" si="16"/>
        <v>0</v>
      </c>
      <c r="G47" s="1"/>
      <c r="H47" s="1">
        <f>SUM(OSRRefH22_7x_0)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SUM(OSRRefP22_7x_0)</f>
        <v>0</v>
      </c>
      <c r="Q47" s="1"/>
      <c r="R47" s="5">
        <f t="shared" si="20"/>
        <v>0</v>
      </c>
      <c r="S47" s="1"/>
      <c r="T47" s="1">
        <f>SUM(OSRRefT22_7x_0)</f>
        <v>81.56</v>
      </c>
      <c r="U47" s="1"/>
      <c r="V47" s="5">
        <f t="shared" si="21"/>
        <v>0</v>
      </c>
      <c r="W47" s="1"/>
      <c r="X47" s="1">
        <f t="shared" si="22"/>
        <v>-81.56</v>
      </c>
      <c r="Y47" s="1"/>
      <c r="Z47" s="5">
        <f t="shared" si="23"/>
        <v>-1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/>
      <c r="Q48" s="2"/>
      <c r="R48" s="7">
        <f t="shared" si="20"/>
        <v>0</v>
      </c>
      <c r="S48" s="2"/>
      <c r="T48" s="6">
        <v>81.56</v>
      </c>
      <c r="U48" s="2"/>
      <c r="V48" s="7">
        <f t="shared" si="21"/>
        <v>0</v>
      </c>
      <c r="W48" s="2"/>
      <c r="X48" s="6">
        <f t="shared" si="22"/>
        <v>-81.56</v>
      </c>
      <c r="Y48" s="2"/>
      <c r="Z48" s="7">
        <f t="shared" si="23"/>
        <v>-1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SUM(OSRRefD22_8x_0)</f>
        <v>208.97</v>
      </c>
      <c r="E49" s="1"/>
      <c r="F49" s="5">
        <f t="shared" si="16"/>
        <v>0</v>
      </c>
      <c r="G49" s="1"/>
      <c r="H49" s="1">
        <f>SUM(OSRRefH22_8x_0)</f>
        <v>208.97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4"/>
      <c r="P49" s="1">
        <f>SUM(OSRRefP22_8x_0)</f>
        <v>835.88</v>
      </c>
      <c r="Q49" s="1"/>
      <c r="R49" s="5">
        <f t="shared" si="20"/>
        <v>0</v>
      </c>
      <c r="S49" s="1"/>
      <c r="T49" s="1">
        <f>SUM(OSRRefT22_8x_0)</f>
        <v>835.88</v>
      </c>
      <c r="U49" s="1"/>
      <c r="V49" s="5">
        <f t="shared" si="21"/>
        <v>0</v>
      </c>
      <c r="W49" s="1"/>
      <c r="X49" s="1">
        <f t="shared" si="22"/>
        <v>0</v>
      </c>
      <c r="Y49" s="1"/>
      <c r="Z49" s="5">
        <f t="shared" si="23"/>
        <v>0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6">
        <v>208.97</v>
      </c>
      <c r="E50" s="2"/>
      <c r="F50" s="7">
        <f t="shared" si="16"/>
        <v>0</v>
      </c>
      <c r="G50" s="2"/>
      <c r="H50" s="6">
        <v>208.97</v>
      </c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835.88</v>
      </c>
      <c r="Q50" s="2"/>
      <c r="R50" s="7">
        <f t="shared" si="20"/>
        <v>0</v>
      </c>
      <c r="S50" s="2"/>
      <c r="T50" s="6">
        <v>835.88</v>
      </c>
      <c r="U50" s="2"/>
      <c r="V50" s="7">
        <f t="shared" si="21"/>
        <v>0</v>
      </c>
      <c r="W50" s="2"/>
      <c r="X50" s="6">
        <f t="shared" si="22"/>
        <v>0</v>
      </c>
      <c r="Y50" s="2"/>
      <c r="Z50" s="7">
        <f t="shared" si="23"/>
        <v>0</v>
      </c>
    </row>
    <row r="51" spans="1:26" s="28" customFormat="1" outlineLevel="1" collapsed="1" x14ac:dyDescent="0.25">
      <c r="A51" s="27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SUM(OSRRefD22_9x_0)</f>
        <v>214.36</v>
      </c>
      <c r="E51" s="1"/>
      <c r="F51" s="5">
        <f t="shared" si="16"/>
        <v>0</v>
      </c>
      <c r="G51" s="1"/>
      <c r="H51" s="1">
        <f>SUM(OSRRefH22_9x_0)</f>
        <v>198.03</v>
      </c>
      <c r="I51" s="1"/>
      <c r="J51" s="5">
        <f t="shared" si="17"/>
        <v>0</v>
      </c>
      <c r="K51" s="1"/>
      <c r="L51" s="1">
        <f t="shared" si="18"/>
        <v>16.330000000000013</v>
      </c>
      <c r="M51" s="1"/>
      <c r="N51" s="5">
        <f t="shared" si="19"/>
        <v>8.2462253193960569E-2</v>
      </c>
      <c r="O51" s="14"/>
      <c r="P51" s="1">
        <f>SUM(OSRRefP22_9x_0)</f>
        <v>728.9</v>
      </c>
      <c r="Q51" s="1"/>
      <c r="R51" s="5">
        <f t="shared" si="20"/>
        <v>0</v>
      </c>
      <c r="S51" s="1"/>
      <c r="T51" s="1">
        <f>SUM(OSRRefT22_9x_0)</f>
        <v>596.96999999999991</v>
      </c>
      <c r="U51" s="1"/>
      <c r="V51" s="5">
        <f t="shared" si="21"/>
        <v>0</v>
      </c>
      <c r="W51" s="1"/>
      <c r="X51" s="1">
        <f t="shared" si="22"/>
        <v>131.93000000000006</v>
      </c>
      <c r="Y51" s="1"/>
      <c r="Z51" s="5">
        <f t="shared" si="23"/>
        <v>0.22099938020336043</v>
      </c>
    </row>
    <row r="52" spans="1:26" s="24" customFormat="1" hidden="1" outlineLevel="2" x14ac:dyDescent="0.25">
      <c r="A52" s="29"/>
      <c r="B52" s="11" t="str">
        <f>CONCATENATE("          ", "6305", " - ", "FREIGHT OUT")</f>
        <v xml:space="preserve">          6305 - FREIGHT OUT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/>
      <c r="Q52" s="2"/>
      <c r="R52" s="7">
        <f t="shared" si="20"/>
        <v>0</v>
      </c>
      <c r="S52" s="2"/>
      <c r="T52" s="6">
        <v>5.41</v>
      </c>
      <c r="U52" s="2"/>
      <c r="V52" s="7">
        <f t="shared" si="21"/>
        <v>0</v>
      </c>
      <c r="W52" s="2"/>
      <c r="X52" s="6">
        <f t="shared" si="22"/>
        <v>-5.41</v>
      </c>
      <c r="Y52" s="2"/>
      <c r="Z52" s="7">
        <f t="shared" si="23"/>
        <v>-1</v>
      </c>
    </row>
    <row r="53" spans="1:26" s="24" customFormat="1" hidden="1" outlineLevel="2" x14ac:dyDescent="0.25">
      <c r="A53" s="29"/>
      <c r="B53" s="11" t="str">
        <f>CONCATENATE("          ", "6307", " - ", "POSTAGE")</f>
        <v xml:space="preserve">          6307 - POSTAGE</v>
      </c>
      <c r="C53" s="11"/>
      <c r="D53" s="6">
        <v>214.36</v>
      </c>
      <c r="E53" s="2"/>
      <c r="F53" s="7">
        <f t="shared" si="16"/>
        <v>0</v>
      </c>
      <c r="G53" s="2"/>
      <c r="H53" s="6">
        <v>198.03</v>
      </c>
      <c r="I53" s="2"/>
      <c r="J53" s="7">
        <f t="shared" si="17"/>
        <v>0</v>
      </c>
      <c r="K53" s="2"/>
      <c r="L53" s="6">
        <f t="shared" si="18"/>
        <v>16.330000000000013</v>
      </c>
      <c r="M53" s="2"/>
      <c r="N53" s="7">
        <f t="shared" si="19"/>
        <v>8.2462253193960569E-2</v>
      </c>
      <c r="O53" s="11"/>
      <c r="P53" s="6">
        <v>728.9</v>
      </c>
      <c r="Q53" s="2"/>
      <c r="R53" s="7">
        <f t="shared" si="20"/>
        <v>0</v>
      </c>
      <c r="S53" s="2"/>
      <c r="T53" s="6">
        <v>591.55999999999995</v>
      </c>
      <c r="U53" s="2"/>
      <c r="V53" s="7">
        <f t="shared" si="21"/>
        <v>0</v>
      </c>
      <c r="W53" s="2"/>
      <c r="X53" s="6">
        <f t="shared" si="22"/>
        <v>137.34000000000003</v>
      </c>
      <c r="Y53" s="2"/>
      <c r="Z53" s="7">
        <f t="shared" si="23"/>
        <v>0.23216579890459133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SUM(OSRRefD22_10x_0)</f>
        <v>-718.57</v>
      </c>
      <c r="E54" s="1"/>
      <c r="F54" s="5">
        <f t="shared" ref="F54:F61" si="24">IF(D$12=0,0,D54/D$12)</f>
        <v>0</v>
      </c>
      <c r="G54" s="1"/>
      <c r="H54" s="1">
        <f>SUM(OSRRefH22_10x_0)</f>
        <v>0</v>
      </c>
      <c r="I54" s="1"/>
      <c r="J54" s="5">
        <f t="shared" ref="J54:J61" si="25">IF(H$12=0,0,H54/H$12)</f>
        <v>0</v>
      </c>
      <c r="K54" s="1"/>
      <c r="L54" s="1">
        <f t="shared" ref="L54:L61" si="26">+D54-H54</f>
        <v>-718.57</v>
      </c>
      <c r="M54" s="1"/>
      <c r="N54" s="5">
        <f t="shared" ref="N54:N61" si="27">IF(H54=0,0,L54/H54)</f>
        <v>0</v>
      </c>
      <c r="O54" s="14"/>
      <c r="P54" s="1">
        <f>SUM(OSRRefP22_10x_0)</f>
        <v>1402.18</v>
      </c>
      <c r="Q54" s="1"/>
      <c r="R54" s="5">
        <f t="shared" ref="R54:R61" si="28">IF(P$12=0,0,P54/P$12)</f>
        <v>0</v>
      </c>
      <c r="S54" s="1"/>
      <c r="T54" s="1">
        <f>SUM(OSRRefT22_10x_0)</f>
        <v>166.54</v>
      </c>
      <c r="U54" s="1"/>
      <c r="V54" s="5">
        <f t="shared" ref="V54:V61" si="29">IF(T$12=0,0,T54/T$12)</f>
        <v>0</v>
      </c>
      <c r="W54" s="1"/>
      <c r="X54" s="1">
        <f t="shared" ref="X54:X61" si="30">+P54-T54</f>
        <v>1235.6400000000001</v>
      </c>
      <c r="Y54" s="1"/>
      <c r="Z54" s="5">
        <f t="shared" ref="Z54:Z61" si="31">IF(T54=0,0,X54/T54)</f>
        <v>7.419478803890958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6">
        <v>-718.57</v>
      </c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-718.57</v>
      </c>
      <c r="M55" s="2"/>
      <c r="N55" s="7">
        <f t="shared" si="27"/>
        <v>0</v>
      </c>
      <c r="O55" s="11"/>
      <c r="P55" s="6">
        <v>1402.18</v>
      </c>
      <c r="Q55" s="2"/>
      <c r="R55" s="7">
        <f t="shared" si="28"/>
        <v>0</v>
      </c>
      <c r="S55" s="2"/>
      <c r="T55" s="6">
        <v>166.54</v>
      </c>
      <c r="U55" s="2"/>
      <c r="V55" s="7">
        <f t="shared" si="29"/>
        <v>0</v>
      </c>
      <c r="W55" s="2"/>
      <c r="X55" s="6">
        <f t="shared" si="30"/>
        <v>1235.6400000000001</v>
      </c>
      <c r="Y55" s="2"/>
      <c r="Z55" s="7">
        <f t="shared" si="31"/>
        <v>7.419478803890958</v>
      </c>
    </row>
    <row r="56" spans="1:26" s="28" customFormat="1" outlineLevel="1" collapsed="1" x14ac:dyDescent="0.25">
      <c r="A56" s="27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SUM(OSRRefD22_11x_0)</f>
        <v>535.05999999999995</v>
      </c>
      <c r="E56" s="1"/>
      <c r="F56" s="5">
        <f t="shared" si="24"/>
        <v>0</v>
      </c>
      <c r="G56" s="1"/>
      <c r="H56" s="1">
        <f>SUM(OSRRefH22_11x_0)</f>
        <v>393.67</v>
      </c>
      <c r="I56" s="1"/>
      <c r="J56" s="5">
        <f t="shared" si="25"/>
        <v>0</v>
      </c>
      <c r="K56" s="1"/>
      <c r="L56" s="1">
        <f t="shared" si="26"/>
        <v>141.38999999999993</v>
      </c>
      <c r="M56" s="1"/>
      <c r="N56" s="5">
        <f t="shared" si="27"/>
        <v>0.35915868620926139</v>
      </c>
      <c r="O56" s="14"/>
      <c r="P56" s="1">
        <f>SUM(OSRRefP22_11x_0)</f>
        <v>2140.2399999999998</v>
      </c>
      <c r="Q56" s="1"/>
      <c r="R56" s="5">
        <f t="shared" si="28"/>
        <v>0</v>
      </c>
      <c r="S56" s="1"/>
      <c r="T56" s="1">
        <f>SUM(OSRRefT22_11x_0)</f>
        <v>1574.68</v>
      </c>
      <c r="U56" s="1"/>
      <c r="V56" s="5">
        <f t="shared" si="29"/>
        <v>0</v>
      </c>
      <c r="W56" s="1"/>
      <c r="X56" s="1">
        <f t="shared" si="30"/>
        <v>565.55999999999972</v>
      </c>
      <c r="Y56" s="1"/>
      <c r="Z56" s="5">
        <f t="shared" si="31"/>
        <v>0.35915868620926139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6">
        <v>535.05999999999995</v>
      </c>
      <c r="E57" s="2"/>
      <c r="F57" s="7">
        <f t="shared" si="24"/>
        <v>0</v>
      </c>
      <c r="G57" s="2"/>
      <c r="H57" s="6">
        <v>393.67</v>
      </c>
      <c r="I57" s="2"/>
      <c r="J57" s="7">
        <f t="shared" si="25"/>
        <v>0</v>
      </c>
      <c r="K57" s="2"/>
      <c r="L57" s="6">
        <f t="shared" si="26"/>
        <v>141.38999999999993</v>
      </c>
      <c r="M57" s="2"/>
      <c r="N57" s="7">
        <f t="shared" si="27"/>
        <v>0.35915868620926139</v>
      </c>
      <c r="O57" s="11"/>
      <c r="P57" s="6">
        <v>2140.2399999999998</v>
      </c>
      <c r="Q57" s="2"/>
      <c r="R57" s="7">
        <f t="shared" si="28"/>
        <v>0</v>
      </c>
      <c r="S57" s="2"/>
      <c r="T57" s="6">
        <v>1574.68</v>
      </c>
      <c r="U57" s="2"/>
      <c r="V57" s="7">
        <f t="shared" si="29"/>
        <v>0</v>
      </c>
      <c r="W57" s="2"/>
      <c r="X57" s="6">
        <f t="shared" si="30"/>
        <v>565.55999999999972</v>
      </c>
      <c r="Y57" s="2"/>
      <c r="Z57" s="7">
        <f t="shared" si="31"/>
        <v>0.35915868620926139</v>
      </c>
    </row>
    <row r="58" spans="1:26" s="28" customFormat="1" outlineLevel="1" collapsed="1" x14ac:dyDescent="0.25">
      <c r="A58" s="27"/>
      <c r="B58" s="14" t="str">
        <f>CONCATENATE("     ","Professional Services                             ")</f>
        <v xml:space="preserve">     Professional Services                             </v>
      </c>
      <c r="C58" s="14"/>
      <c r="D58" s="1">
        <f>SUM(OSRRefD22_12x_0)</f>
        <v>32573.27</v>
      </c>
      <c r="E58" s="1"/>
      <c r="F58" s="5">
        <f t="shared" si="24"/>
        <v>0</v>
      </c>
      <c r="G58" s="1"/>
      <c r="H58" s="1">
        <f>SUM(OSRRefH22_12x_0)</f>
        <v>29955.7</v>
      </c>
      <c r="I58" s="1"/>
      <c r="J58" s="5">
        <f t="shared" si="25"/>
        <v>0</v>
      </c>
      <c r="K58" s="1"/>
      <c r="L58" s="1">
        <f t="shared" si="26"/>
        <v>2617.5699999999997</v>
      </c>
      <c r="M58" s="1"/>
      <c r="N58" s="5">
        <f t="shared" si="27"/>
        <v>8.7381366484508782E-2</v>
      </c>
      <c r="O58" s="14"/>
      <c r="P58" s="1">
        <f>SUM(OSRRefP22_12x_0)</f>
        <v>65614.87</v>
      </c>
      <c r="Q58" s="1"/>
      <c r="R58" s="5">
        <f t="shared" si="28"/>
        <v>0</v>
      </c>
      <c r="S58" s="1"/>
      <c r="T58" s="1">
        <f>SUM(OSRRefT22_12x_0)</f>
        <v>53772.71</v>
      </c>
      <c r="U58" s="1"/>
      <c r="V58" s="5">
        <f t="shared" si="29"/>
        <v>0</v>
      </c>
      <c r="W58" s="1"/>
      <c r="X58" s="1">
        <f t="shared" si="30"/>
        <v>11842.159999999996</v>
      </c>
      <c r="Y58" s="1"/>
      <c r="Z58" s="5">
        <f t="shared" si="31"/>
        <v>0.22022620768043857</v>
      </c>
    </row>
    <row r="59" spans="1:26" s="24" customFormat="1" hidden="1" outlineLevel="2" x14ac:dyDescent="0.25">
      <c r="A59" s="29"/>
      <c r="B59" s="11" t="str">
        <f>CONCATENATE("          ", "6331", " - ", "INDIRECT COSTS-AUXILIARY ORGAN")</f>
        <v xml:space="preserve">          6331 - INDIRECT COSTS-AUXILIARY ORGAN</v>
      </c>
      <c r="C59" s="11"/>
      <c r="D59" s="6">
        <v>29087.75</v>
      </c>
      <c r="E59" s="2"/>
      <c r="F59" s="7">
        <f t="shared" si="24"/>
        <v>0</v>
      </c>
      <c r="G59" s="2"/>
      <c r="H59" s="6">
        <v>26585.75</v>
      </c>
      <c r="I59" s="2"/>
      <c r="J59" s="7">
        <f t="shared" si="25"/>
        <v>0</v>
      </c>
      <c r="K59" s="2"/>
      <c r="L59" s="6">
        <f t="shared" si="26"/>
        <v>2502</v>
      </c>
      <c r="M59" s="2"/>
      <c r="N59" s="7">
        <f t="shared" si="27"/>
        <v>9.4110566750985017E-2</v>
      </c>
      <c r="O59" s="11"/>
      <c r="P59" s="6">
        <v>55925.5</v>
      </c>
      <c r="Q59" s="2"/>
      <c r="R59" s="7">
        <f t="shared" si="28"/>
        <v>0</v>
      </c>
      <c r="S59" s="2"/>
      <c r="T59" s="6">
        <v>46671.5</v>
      </c>
      <c r="U59" s="2"/>
      <c r="V59" s="7">
        <f t="shared" si="29"/>
        <v>0</v>
      </c>
      <c r="W59" s="2"/>
      <c r="X59" s="6">
        <f t="shared" si="30"/>
        <v>9254</v>
      </c>
      <c r="Y59" s="2"/>
      <c r="Z59" s="7">
        <f t="shared" si="31"/>
        <v>0.19827946391266618</v>
      </c>
    </row>
    <row r="60" spans="1:26" s="24" customFormat="1" hidden="1" outlineLevel="2" x14ac:dyDescent="0.25">
      <c r="A60" s="29"/>
      <c r="B60" s="11" t="str">
        <f>CONCATENATE("          ", "6334", " - ", "LEGAL COUNCIL EXPENSE")</f>
        <v xml:space="preserve">          6334 - LEGAL COUNCIL EXPENSE</v>
      </c>
      <c r="C60" s="11"/>
      <c r="D60" s="6">
        <v>75</v>
      </c>
      <c r="E60" s="2"/>
      <c r="F60" s="7">
        <f t="shared" si="24"/>
        <v>0</v>
      </c>
      <c r="G60" s="2"/>
      <c r="H60" s="6">
        <v>1665</v>
      </c>
      <c r="I60" s="2"/>
      <c r="J60" s="7">
        <f t="shared" si="25"/>
        <v>0</v>
      </c>
      <c r="K60" s="2"/>
      <c r="L60" s="6">
        <f t="shared" si="26"/>
        <v>-1590</v>
      </c>
      <c r="M60" s="2"/>
      <c r="N60" s="7">
        <f t="shared" si="27"/>
        <v>-0.95495495495495497</v>
      </c>
      <c r="O60" s="11"/>
      <c r="P60" s="6">
        <v>3330</v>
      </c>
      <c r="Q60" s="2"/>
      <c r="R60" s="7">
        <f t="shared" si="28"/>
        <v>0</v>
      </c>
      <c r="S60" s="2"/>
      <c r="T60" s="6">
        <v>2815</v>
      </c>
      <c r="U60" s="2"/>
      <c r="V60" s="7">
        <f t="shared" si="29"/>
        <v>0</v>
      </c>
      <c r="W60" s="2"/>
      <c r="X60" s="6">
        <f t="shared" si="30"/>
        <v>515</v>
      </c>
      <c r="Y60" s="2"/>
      <c r="Z60" s="7">
        <f t="shared" si="31"/>
        <v>0.18294849023090587</v>
      </c>
    </row>
    <row r="61" spans="1:26" s="24" customFormat="1" hidden="1" outlineLevel="2" x14ac:dyDescent="0.25">
      <c r="A61" s="29"/>
      <c r="B61" s="11" t="str">
        <f>CONCATENATE("          ", "6336", " - ", "PROFESSIONAL SERVICES")</f>
        <v xml:space="preserve">          6336 - PROFESSIONAL SERVICES</v>
      </c>
      <c r="C61" s="11"/>
      <c r="D61" s="6">
        <v>3410.52</v>
      </c>
      <c r="E61" s="2"/>
      <c r="F61" s="7">
        <f t="shared" si="24"/>
        <v>0</v>
      </c>
      <c r="G61" s="2"/>
      <c r="H61" s="6">
        <v>1704.95</v>
      </c>
      <c r="I61" s="2"/>
      <c r="J61" s="7">
        <f t="shared" si="25"/>
        <v>0</v>
      </c>
      <c r="K61" s="2"/>
      <c r="L61" s="6">
        <f t="shared" si="26"/>
        <v>1705.57</v>
      </c>
      <c r="M61" s="2"/>
      <c r="N61" s="7">
        <f t="shared" si="27"/>
        <v>1.0003636470277719</v>
      </c>
      <c r="O61" s="11"/>
      <c r="P61" s="6">
        <v>6359.37</v>
      </c>
      <c r="Q61" s="2"/>
      <c r="R61" s="7">
        <f t="shared" si="28"/>
        <v>0</v>
      </c>
      <c r="S61" s="2"/>
      <c r="T61" s="6">
        <v>4286.21</v>
      </c>
      <c r="U61" s="2"/>
      <c r="V61" s="7">
        <f t="shared" si="29"/>
        <v>0</v>
      </c>
      <c r="W61" s="2"/>
      <c r="X61" s="6">
        <f t="shared" si="30"/>
        <v>2073.16</v>
      </c>
      <c r="Y61" s="2"/>
      <c r="Z61" s="7">
        <f t="shared" si="31"/>
        <v>0.48368138751951023</v>
      </c>
    </row>
    <row r="62" spans="1:26" s="28" customFormat="1" outlineLevel="1" collapsed="1" x14ac:dyDescent="0.25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SUM(OSRRefD22_13x_0)</f>
        <v>20473.939999999999</v>
      </c>
      <c r="E62" s="1"/>
      <c r="F62" s="5">
        <f t="shared" ref="F62:F66" si="32">IF(D$12=0,0,D62/D$12)</f>
        <v>0</v>
      </c>
      <c r="G62" s="1"/>
      <c r="H62" s="1">
        <f>SUM(OSRRefH22_13x_0)</f>
        <v>23159.67</v>
      </c>
      <c r="I62" s="1"/>
      <c r="J62" s="5">
        <f t="shared" ref="J62:J66" si="33">IF(H$12=0,0,H62/H$12)</f>
        <v>0</v>
      </c>
      <c r="K62" s="1"/>
      <c r="L62" s="1">
        <f t="shared" ref="L62:L66" si="34">+D62-H62</f>
        <v>-2685.7299999999996</v>
      </c>
      <c r="M62" s="1"/>
      <c r="N62" s="5">
        <f t="shared" ref="N62:N66" si="35">IF(H62=0,0,L62/H62)</f>
        <v>-0.11596581471152222</v>
      </c>
      <c r="O62" s="14"/>
      <c r="P62" s="1">
        <f>SUM(OSRRefP22_13x_0)</f>
        <v>71747.05</v>
      </c>
      <c r="Q62" s="1"/>
      <c r="R62" s="5">
        <f t="shared" ref="R62:R66" si="36">IF(P$12=0,0,P62/P$12)</f>
        <v>0</v>
      </c>
      <c r="S62" s="1"/>
      <c r="T62" s="1">
        <f>SUM(OSRRefT22_13x_0)</f>
        <v>79562.13</v>
      </c>
      <c r="U62" s="1"/>
      <c r="V62" s="5">
        <f t="shared" ref="V62:V66" si="37">IF(T$12=0,0,T62/T$12)</f>
        <v>0</v>
      </c>
      <c r="W62" s="1"/>
      <c r="X62" s="1">
        <f t="shared" ref="X62:X66" si="38">+P62-T62</f>
        <v>-7815.0800000000017</v>
      </c>
      <c r="Y62" s="1"/>
      <c r="Z62" s="5">
        <f t="shared" ref="Z62:Z66" si="39">IF(T62=0,0,X62/T62)</f>
        <v>-9.8226128435726909E-2</v>
      </c>
    </row>
    <row r="63" spans="1:26" s="24" customFormat="1" hidden="1" outlineLevel="2" x14ac:dyDescent="0.25">
      <c r="A63" s="29"/>
      <c r="B63" s="11" t="str">
        <f>CONCATENATE("          ", "6371", " - ", "COMPUTER SOFTWARE MAINTENANCE")</f>
        <v xml:space="preserve">          6371 - COMPUTER SOFTWARE MAINTENANCE</v>
      </c>
      <c r="C63" s="11"/>
      <c r="D63" s="6">
        <v>6247.84</v>
      </c>
      <c r="E63" s="2"/>
      <c r="F63" s="7">
        <f t="shared" si="32"/>
        <v>0</v>
      </c>
      <c r="G63" s="2"/>
      <c r="H63" s="6">
        <v>6844.26</v>
      </c>
      <c r="I63" s="2"/>
      <c r="J63" s="7">
        <f t="shared" si="33"/>
        <v>0</v>
      </c>
      <c r="K63" s="2"/>
      <c r="L63" s="6">
        <f t="shared" si="34"/>
        <v>-596.42000000000007</v>
      </c>
      <c r="M63" s="2"/>
      <c r="N63" s="7">
        <f t="shared" si="35"/>
        <v>-8.714163401156591E-2</v>
      </c>
      <c r="O63" s="11"/>
      <c r="P63" s="6">
        <v>21721.29</v>
      </c>
      <c r="Q63" s="2"/>
      <c r="R63" s="7">
        <f t="shared" si="36"/>
        <v>0</v>
      </c>
      <c r="S63" s="2"/>
      <c r="T63" s="6">
        <v>18985.27</v>
      </c>
      <c r="U63" s="2"/>
      <c r="V63" s="7">
        <f t="shared" si="37"/>
        <v>0</v>
      </c>
      <c r="W63" s="2"/>
      <c r="X63" s="6">
        <f t="shared" si="38"/>
        <v>2736.0200000000004</v>
      </c>
      <c r="Y63" s="2"/>
      <c r="Z63" s="7">
        <f t="shared" si="39"/>
        <v>0.14411277795891236</v>
      </c>
    </row>
    <row r="64" spans="1:26" s="24" customFormat="1" hidden="1" outlineLevel="2" x14ac:dyDescent="0.25">
      <c r="A64" s="29"/>
      <c r="B64" s="11" t="str">
        <f>CONCATENATE("          ", "6372", " - ", "COMPUTER HARDWARE MAINTENANCE")</f>
        <v xml:space="preserve">          6372 - COMPUTER HARDWARE MAINTENANCE</v>
      </c>
      <c r="C64" s="11"/>
      <c r="D64" s="6">
        <v>1008.07</v>
      </c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1008.07</v>
      </c>
      <c r="M64" s="2"/>
      <c r="N64" s="7">
        <f t="shared" si="35"/>
        <v>0</v>
      </c>
      <c r="O64" s="11"/>
      <c r="P64" s="6">
        <v>1008.07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1008.07</v>
      </c>
      <c r="Y64" s="2"/>
      <c r="Z64" s="7">
        <f t="shared" si="39"/>
        <v>0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6">
        <v>13145.19</v>
      </c>
      <c r="E65" s="2"/>
      <c r="F65" s="7">
        <f t="shared" si="32"/>
        <v>0</v>
      </c>
      <c r="G65" s="2"/>
      <c r="H65" s="6">
        <v>15449.41</v>
      </c>
      <c r="I65" s="2"/>
      <c r="J65" s="7">
        <f t="shared" si="33"/>
        <v>0</v>
      </c>
      <c r="K65" s="2"/>
      <c r="L65" s="6">
        <f t="shared" si="34"/>
        <v>-2304.2199999999993</v>
      </c>
      <c r="M65" s="2"/>
      <c r="N65" s="7">
        <f t="shared" si="35"/>
        <v>-0.14914614862315126</v>
      </c>
      <c r="O65" s="11"/>
      <c r="P65" s="6">
        <v>47178.42</v>
      </c>
      <c r="Q65" s="2"/>
      <c r="R65" s="7">
        <f t="shared" si="36"/>
        <v>0</v>
      </c>
      <c r="S65" s="2"/>
      <c r="T65" s="6">
        <v>58891.67</v>
      </c>
      <c r="U65" s="2"/>
      <c r="V65" s="7">
        <f t="shared" si="37"/>
        <v>0</v>
      </c>
      <c r="W65" s="2"/>
      <c r="X65" s="6">
        <f t="shared" si="38"/>
        <v>-11713.25</v>
      </c>
      <c r="Y65" s="2"/>
      <c r="Z65" s="7">
        <f t="shared" si="39"/>
        <v>-0.19889485219216912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72.84</v>
      </c>
      <c r="E66" s="2"/>
      <c r="F66" s="7">
        <f t="shared" si="32"/>
        <v>0</v>
      </c>
      <c r="G66" s="2"/>
      <c r="H66" s="6">
        <v>866</v>
      </c>
      <c r="I66" s="2"/>
      <c r="J66" s="7">
        <f t="shared" si="33"/>
        <v>0</v>
      </c>
      <c r="K66" s="2"/>
      <c r="L66" s="6">
        <f t="shared" si="34"/>
        <v>-793.16</v>
      </c>
      <c r="M66" s="2"/>
      <c r="N66" s="7">
        <f t="shared" si="35"/>
        <v>-0.91588914549653577</v>
      </c>
      <c r="O66" s="11"/>
      <c r="P66" s="6">
        <v>1839.27</v>
      </c>
      <c r="Q66" s="2"/>
      <c r="R66" s="7">
        <f t="shared" si="36"/>
        <v>0</v>
      </c>
      <c r="S66" s="2"/>
      <c r="T66" s="6">
        <v>1685.19</v>
      </c>
      <c r="U66" s="2"/>
      <c r="V66" s="7">
        <f t="shared" si="37"/>
        <v>0</v>
      </c>
      <c r="W66" s="2"/>
      <c r="X66" s="6">
        <f t="shared" si="38"/>
        <v>154.07999999999993</v>
      </c>
      <c r="Y66" s="2"/>
      <c r="Z66" s="7">
        <f t="shared" si="39"/>
        <v>9.1431826678297357E-2</v>
      </c>
    </row>
    <row r="67" spans="1:26" s="28" customFormat="1" outlineLevel="1" collapsed="1" x14ac:dyDescent="0.25">
      <c r="A67" s="27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SUM(OSRRefD22_14x_0)</f>
        <v>657.38</v>
      </c>
      <c r="E67" s="1"/>
      <c r="F67" s="5">
        <f t="shared" ref="F67:F76" si="40">IF(D$12=0,0,D67/D$12)</f>
        <v>0</v>
      </c>
      <c r="G67" s="1"/>
      <c r="H67" s="1">
        <f>SUM(OSRRefH22_14x_0)</f>
        <v>1024.96</v>
      </c>
      <c r="I67" s="1"/>
      <c r="J67" s="5">
        <f t="shared" ref="J67:J76" si="41">IF(H$12=0,0,H67/H$12)</f>
        <v>0</v>
      </c>
      <c r="K67" s="1"/>
      <c r="L67" s="1">
        <f t="shared" ref="L67:L76" si="42">+D67-H67</f>
        <v>-367.58000000000004</v>
      </c>
      <c r="M67" s="1"/>
      <c r="N67" s="5">
        <f t="shared" ref="N67:N76" si="43">IF(H67=0,0,L67/H67)</f>
        <v>-0.35862862940992823</v>
      </c>
      <c r="O67" s="14"/>
      <c r="P67" s="1">
        <f>SUM(OSRRefP22_14x_0)</f>
        <v>2682.65</v>
      </c>
      <c r="Q67" s="1"/>
      <c r="R67" s="5">
        <f t="shared" ref="R67:R76" si="44">IF(P$12=0,0,P67/P$12)</f>
        <v>0</v>
      </c>
      <c r="S67" s="1"/>
      <c r="T67" s="1">
        <f>SUM(OSRRefT22_14x_0)</f>
        <v>2049.92</v>
      </c>
      <c r="U67" s="1"/>
      <c r="V67" s="5">
        <f t="shared" ref="V67:V76" si="45">IF(T$12=0,0,T67/T$12)</f>
        <v>0</v>
      </c>
      <c r="W67" s="1"/>
      <c r="X67" s="1">
        <f t="shared" ref="X67:X76" si="46">+P67-T67</f>
        <v>632.73</v>
      </c>
      <c r="Y67" s="1"/>
      <c r="Z67" s="5">
        <f t="shared" ref="Z67:Z76" si="47">IF(T67=0,0,X67/T67)</f>
        <v>0.30866082578832343</v>
      </c>
    </row>
    <row r="68" spans="1:26" s="24" customFormat="1" hidden="1" outlineLevel="2" x14ac:dyDescent="0.25">
      <c r="A68" s="29"/>
      <c r="B68" s="11" t="str">
        <f>CONCATENATE("          ", "6281", " - ", "STORAGE FEE")</f>
        <v xml:space="preserve">          6281 - STORAGE FEE</v>
      </c>
      <c r="C68" s="11"/>
      <c r="D68" s="6">
        <v>657.38</v>
      </c>
      <c r="E68" s="2"/>
      <c r="F68" s="7">
        <f t="shared" si="40"/>
        <v>0</v>
      </c>
      <c r="G68" s="2"/>
      <c r="H68" s="6">
        <v>1024.96</v>
      </c>
      <c r="I68" s="2"/>
      <c r="J68" s="7">
        <f t="shared" si="41"/>
        <v>0</v>
      </c>
      <c r="K68" s="2"/>
      <c r="L68" s="6">
        <f t="shared" si="42"/>
        <v>-367.58000000000004</v>
      </c>
      <c r="M68" s="2"/>
      <c r="N68" s="7">
        <f t="shared" si="43"/>
        <v>-0.35862862940992823</v>
      </c>
      <c r="O68" s="11"/>
      <c r="P68" s="6">
        <v>2682.65</v>
      </c>
      <c r="Q68" s="2"/>
      <c r="R68" s="7">
        <f t="shared" si="44"/>
        <v>0</v>
      </c>
      <c r="S68" s="2"/>
      <c r="T68" s="6">
        <v>2049.92</v>
      </c>
      <c r="U68" s="2"/>
      <c r="V68" s="7">
        <f t="shared" si="45"/>
        <v>0</v>
      </c>
      <c r="W68" s="2"/>
      <c r="X68" s="6">
        <f t="shared" si="46"/>
        <v>632.73</v>
      </c>
      <c r="Y68" s="2"/>
      <c r="Z68" s="7">
        <f t="shared" si="47"/>
        <v>0.30866082578832343</v>
      </c>
    </row>
    <row r="69" spans="1:26" s="28" customFormat="1" outlineLevel="1" collapsed="1" x14ac:dyDescent="0.25">
      <c r="A69" s="27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SUM(OSRRefD22_15x_0)</f>
        <v>438</v>
      </c>
      <c r="E69" s="1"/>
      <c r="F69" s="5">
        <f t="shared" si="40"/>
        <v>0</v>
      </c>
      <c r="G69" s="1"/>
      <c r="H69" s="1">
        <f>SUM(OSRRefH22_15x_0)</f>
        <v>534.99</v>
      </c>
      <c r="I69" s="1"/>
      <c r="J69" s="5">
        <f t="shared" si="41"/>
        <v>0</v>
      </c>
      <c r="K69" s="1"/>
      <c r="L69" s="1">
        <f t="shared" si="42"/>
        <v>-96.990000000000009</v>
      </c>
      <c r="M69" s="1"/>
      <c r="N69" s="5">
        <f t="shared" si="43"/>
        <v>-0.18129310828239781</v>
      </c>
      <c r="O69" s="14"/>
      <c r="P69" s="1">
        <f>SUM(OSRRefP22_15x_0)</f>
        <v>1657</v>
      </c>
      <c r="Q69" s="1"/>
      <c r="R69" s="5">
        <f t="shared" si="44"/>
        <v>0</v>
      </c>
      <c r="S69" s="1"/>
      <c r="T69" s="1">
        <f>SUM(OSRRefT22_15x_0)</f>
        <v>2259.9899999999998</v>
      </c>
      <c r="U69" s="1"/>
      <c r="V69" s="5">
        <f t="shared" si="45"/>
        <v>0</v>
      </c>
      <c r="W69" s="1"/>
      <c r="X69" s="1">
        <f t="shared" si="46"/>
        <v>-602.98999999999978</v>
      </c>
      <c r="Y69" s="1"/>
      <c r="Z69" s="5">
        <f t="shared" si="47"/>
        <v>-0.26681091509254456</v>
      </c>
    </row>
    <row r="70" spans="1:26" s="24" customFormat="1" hidden="1" outlineLevel="2" x14ac:dyDescent="0.25">
      <c r="A70" s="29"/>
      <c r="B70" s="11" t="str">
        <f>CONCATENATE("          ", "6258", " - ", "MEMBERSHIP DUES")</f>
        <v xml:space="preserve">          6258 - MEMBERSHIP DUES</v>
      </c>
      <c r="C70" s="11"/>
      <c r="D70" s="6">
        <v>438</v>
      </c>
      <c r="E70" s="2"/>
      <c r="F70" s="7">
        <f t="shared" si="40"/>
        <v>0</v>
      </c>
      <c r="G70" s="2"/>
      <c r="H70" s="6">
        <v>534.99</v>
      </c>
      <c r="I70" s="2"/>
      <c r="J70" s="7">
        <f t="shared" si="41"/>
        <v>0</v>
      </c>
      <c r="K70" s="2"/>
      <c r="L70" s="6">
        <f t="shared" si="42"/>
        <v>-96.990000000000009</v>
      </c>
      <c r="M70" s="2"/>
      <c r="N70" s="7">
        <f t="shared" si="43"/>
        <v>-0.18129310828239781</v>
      </c>
      <c r="O70" s="11"/>
      <c r="P70" s="6">
        <v>1657</v>
      </c>
      <c r="Q70" s="2"/>
      <c r="R70" s="7">
        <f t="shared" si="44"/>
        <v>0</v>
      </c>
      <c r="S70" s="2"/>
      <c r="T70" s="6">
        <v>2259.9899999999998</v>
      </c>
      <c r="U70" s="2"/>
      <c r="V70" s="7">
        <f t="shared" si="45"/>
        <v>0</v>
      </c>
      <c r="W70" s="2"/>
      <c r="X70" s="6">
        <f t="shared" si="46"/>
        <v>-602.98999999999978</v>
      </c>
      <c r="Y70" s="2"/>
      <c r="Z70" s="7">
        <f t="shared" si="47"/>
        <v>-0.26681091509254456</v>
      </c>
    </row>
    <row r="71" spans="1:26" s="28" customFormat="1" outlineLevel="1" collapsed="1" x14ac:dyDescent="0.25">
      <c r="A71" s="27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SUM(OSRRefD22_16x_0)</f>
        <v>3300.55</v>
      </c>
      <c r="E71" s="1"/>
      <c r="F71" s="5">
        <f t="shared" si="40"/>
        <v>0</v>
      </c>
      <c r="G71" s="1"/>
      <c r="H71" s="1">
        <f>SUM(OSRRefH22_16x_0)</f>
        <v>482.82</v>
      </c>
      <c r="I71" s="1"/>
      <c r="J71" s="5">
        <f t="shared" si="41"/>
        <v>0</v>
      </c>
      <c r="K71" s="1"/>
      <c r="L71" s="1">
        <f t="shared" si="42"/>
        <v>2817.73</v>
      </c>
      <c r="M71" s="1"/>
      <c r="N71" s="5">
        <f t="shared" si="43"/>
        <v>5.835984424837414</v>
      </c>
      <c r="O71" s="14"/>
      <c r="P71" s="1">
        <f>SUM(OSRRefP22_16x_0)</f>
        <v>9878.73</v>
      </c>
      <c r="Q71" s="1"/>
      <c r="R71" s="5">
        <f t="shared" si="44"/>
        <v>0</v>
      </c>
      <c r="S71" s="1"/>
      <c r="T71" s="1">
        <f>SUM(OSRRefT22_16x_0)</f>
        <v>-1961.7000000000003</v>
      </c>
      <c r="U71" s="1"/>
      <c r="V71" s="5">
        <f t="shared" si="45"/>
        <v>0</v>
      </c>
      <c r="W71" s="1"/>
      <c r="X71" s="1">
        <f t="shared" si="46"/>
        <v>11840.43</v>
      </c>
      <c r="Y71" s="1"/>
      <c r="Z71" s="5">
        <f t="shared" si="47"/>
        <v>-6.035800581128612</v>
      </c>
    </row>
    <row r="72" spans="1:26" s="24" customFormat="1" hidden="1" outlineLevel="2" x14ac:dyDescent="0.25">
      <c r="A72" s="29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26.1</v>
      </c>
      <c r="Q72" s="2"/>
      <c r="R72" s="7">
        <f t="shared" si="44"/>
        <v>0</v>
      </c>
      <c r="S72" s="2"/>
      <c r="T72" s="6"/>
      <c r="U72" s="2"/>
      <c r="V72" s="7">
        <f t="shared" si="45"/>
        <v>0</v>
      </c>
      <c r="W72" s="2"/>
      <c r="X72" s="6">
        <f t="shared" si="46"/>
        <v>26.1</v>
      </c>
      <c r="Y72" s="2"/>
      <c r="Z72" s="7">
        <f t="shared" si="47"/>
        <v>0</v>
      </c>
    </row>
    <row r="73" spans="1:26" s="24" customFormat="1" hidden="1" outlineLevel="2" x14ac:dyDescent="0.25">
      <c r="A73" s="29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2447.77</v>
      </c>
      <c r="Q73" s="2"/>
      <c r="R73" s="7">
        <f t="shared" si="44"/>
        <v>0</v>
      </c>
      <c r="S73" s="2"/>
      <c r="T73" s="6">
        <v>744.18</v>
      </c>
      <c r="U73" s="2"/>
      <c r="V73" s="7">
        <f t="shared" si="45"/>
        <v>0</v>
      </c>
      <c r="W73" s="2"/>
      <c r="X73" s="6">
        <f t="shared" si="46"/>
        <v>1703.5900000000001</v>
      </c>
      <c r="Y73" s="2"/>
      <c r="Z73" s="7">
        <f t="shared" si="47"/>
        <v>2.2892176623935074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6">
        <v>1552.55</v>
      </c>
      <c r="E74" s="2"/>
      <c r="F74" s="7">
        <f t="shared" si="40"/>
        <v>0</v>
      </c>
      <c r="G74" s="2"/>
      <c r="H74" s="6">
        <v>457.82</v>
      </c>
      <c r="I74" s="2"/>
      <c r="J74" s="7">
        <f t="shared" si="41"/>
        <v>0</v>
      </c>
      <c r="K74" s="2"/>
      <c r="L74" s="6">
        <f t="shared" si="42"/>
        <v>1094.73</v>
      </c>
      <c r="M74" s="2"/>
      <c r="N74" s="7">
        <f t="shared" si="43"/>
        <v>2.3911799397142981</v>
      </c>
      <c r="O74" s="11"/>
      <c r="P74" s="6">
        <v>4070.17</v>
      </c>
      <c r="Q74" s="2"/>
      <c r="R74" s="7">
        <f t="shared" si="44"/>
        <v>0</v>
      </c>
      <c r="S74" s="2"/>
      <c r="T74" s="6">
        <v>-2928.59</v>
      </c>
      <c r="U74" s="2"/>
      <c r="V74" s="7">
        <f t="shared" si="45"/>
        <v>0</v>
      </c>
      <c r="W74" s="2"/>
      <c r="X74" s="6">
        <f t="shared" si="46"/>
        <v>6998.76</v>
      </c>
      <c r="Y74" s="2"/>
      <c r="Z74" s="7">
        <f t="shared" si="47"/>
        <v>-2.389805332941791</v>
      </c>
    </row>
    <row r="75" spans="1:26" s="24" customFormat="1" hidden="1" outlineLevel="2" x14ac:dyDescent="0.25">
      <c r="A75" s="29"/>
      <c r="B75" s="11" t="str">
        <f>CONCATENATE("          ", "6244", " - ", "SAFETY SUPPLY EXPENSE")</f>
        <v xml:space="preserve">          6244 - SAFETY SUPPLY EXPENSE</v>
      </c>
      <c r="C75" s="11"/>
      <c r="D75" s="6">
        <v>175</v>
      </c>
      <c r="E75" s="2"/>
      <c r="F75" s="7">
        <f t="shared" si="40"/>
        <v>0</v>
      </c>
      <c r="G75" s="2"/>
      <c r="H75" s="6">
        <v>25</v>
      </c>
      <c r="I75" s="2"/>
      <c r="J75" s="7">
        <f t="shared" si="41"/>
        <v>0</v>
      </c>
      <c r="K75" s="2"/>
      <c r="L75" s="6">
        <f t="shared" si="42"/>
        <v>150</v>
      </c>
      <c r="M75" s="2"/>
      <c r="N75" s="7">
        <f t="shared" si="43"/>
        <v>6</v>
      </c>
      <c r="O75" s="11"/>
      <c r="P75" s="6">
        <v>550</v>
      </c>
      <c r="Q75" s="2"/>
      <c r="R75" s="7">
        <f t="shared" si="44"/>
        <v>0</v>
      </c>
      <c r="S75" s="2"/>
      <c r="T75" s="6">
        <v>222.71</v>
      </c>
      <c r="U75" s="2"/>
      <c r="V75" s="7">
        <f t="shared" si="45"/>
        <v>0</v>
      </c>
      <c r="W75" s="2"/>
      <c r="X75" s="6">
        <f t="shared" si="46"/>
        <v>327.28999999999996</v>
      </c>
      <c r="Y75" s="2"/>
      <c r="Z75" s="7">
        <f t="shared" si="47"/>
        <v>1.4695792734946789</v>
      </c>
    </row>
    <row r="76" spans="1:26" s="24" customFormat="1" hidden="1" outlineLevel="2" x14ac:dyDescent="0.25">
      <c r="A76" s="29"/>
      <c r="B76" s="11" t="str">
        <f>CONCATENATE("          ", "6248", " - ", "UNIFORMS")</f>
        <v xml:space="preserve">          6248 - UNIFORMS</v>
      </c>
      <c r="C76" s="11"/>
      <c r="D76" s="6">
        <v>1573</v>
      </c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1573</v>
      </c>
      <c r="M76" s="2"/>
      <c r="N76" s="7">
        <f t="shared" si="43"/>
        <v>0</v>
      </c>
      <c r="O76" s="11"/>
      <c r="P76" s="6">
        <v>2784.69</v>
      </c>
      <c r="Q76" s="2"/>
      <c r="R76" s="7">
        <f t="shared" si="44"/>
        <v>0</v>
      </c>
      <c r="S76" s="2"/>
      <c r="T76" s="6"/>
      <c r="U76" s="2"/>
      <c r="V76" s="7">
        <f t="shared" si="45"/>
        <v>0</v>
      </c>
      <c r="W76" s="2"/>
      <c r="X76" s="6">
        <f t="shared" si="46"/>
        <v>2784.69</v>
      </c>
      <c r="Y76" s="2"/>
      <c r="Z76" s="7">
        <f t="shared" si="47"/>
        <v>0</v>
      </c>
    </row>
    <row r="77" spans="1:26" s="28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SUM(OSRRefD22_17x_0)</f>
        <v>3309.04</v>
      </c>
      <c r="E77" s="1"/>
      <c r="F77" s="5">
        <f t="shared" ref="F77:F79" si="48">IF(D$12=0,0,D77/D$12)</f>
        <v>0</v>
      </c>
      <c r="G77" s="1"/>
      <c r="H77" s="1">
        <f>SUM(OSRRefH22_17x_0)</f>
        <v>1888.1</v>
      </c>
      <c r="I77" s="1"/>
      <c r="J77" s="5">
        <f t="shared" ref="J77:J79" si="49">IF(H$12=0,0,H77/H$12)</f>
        <v>0</v>
      </c>
      <c r="K77" s="1"/>
      <c r="L77" s="1">
        <f t="shared" ref="L77:L79" si="50">+D77-H77</f>
        <v>1420.94</v>
      </c>
      <c r="M77" s="1"/>
      <c r="N77" s="5">
        <f t="shared" ref="N77:N79" si="51">IF(H77=0,0,L77/H77)</f>
        <v>0.75257666437159054</v>
      </c>
      <c r="O77" s="14"/>
      <c r="P77" s="1">
        <f>SUM(OSRRefP22_17x_0)</f>
        <v>9823.34</v>
      </c>
      <c r="Q77" s="1"/>
      <c r="R77" s="5">
        <f t="shared" ref="R77:R79" si="52">IF(P$12=0,0,P77/P$12)</f>
        <v>0</v>
      </c>
      <c r="S77" s="1"/>
      <c r="T77" s="1">
        <f>SUM(OSRRefT22_17x_0)</f>
        <v>8168.2</v>
      </c>
      <c r="U77" s="1"/>
      <c r="V77" s="5">
        <f t="shared" ref="V77:V79" si="53">IF(T$12=0,0,T77/T$12)</f>
        <v>0</v>
      </c>
      <c r="W77" s="1"/>
      <c r="X77" s="1">
        <f t="shared" ref="X77:X79" si="54">+P77-T77</f>
        <v>1655.1400000000003</v>
      </c>
      <c r="Y77" s="1"/>
      <c r="Z77" s="5">
        <f t="shared" ref="Z77:Z79" si="55">IF(T77=0,0,X77/T77)</f>
        <v>0.20263215885996919</v>
      </c>
    </row>
    <row r="78" spans="1:26" s="24" customFormat="1" hidden="1" outlineLevel="2" x14ac:dyDescent="0.25">
      <c r="A78" s="29"/>
      <c r="B78" s="11" t="str">
        <f>CONCATENATE("          ", "6303", " - ", "DATA PHONE LINES")</f>
        <v xml:space="preserve">          6303 - DATA PHONE LINES</v>
      </c>
      <c r="C78" s="11"/>
      <c r="D78" s="6">
        <v>332.96</v>
      </c>
      <c r="E78" s="2"/>
      <c r="F78" s="7">
        <f t="shared" si="48"/>
        <v>0</v>
      </c>
      <c r="G78" s="2"/>
      <c r="H78" s="6">
        <v>143.97999999999999</v>
      </c>
      <c r="I78" s="2"/>
      <c r="J78" s="7">
        <f t="shared" si="49"/>
        <v>0</v>
      </c>
      <c r="K78" s="2"/>
      <c r="L78" s="6">
        <f t="shared" si="50"/>
        <v>188.98</v>
      </c>
      <c r="M78" s="2"/>
      <c r="N78" s="7">
        <f t="shared" si="51"/>
        <v>1.3125434088067787</v>
      </c>
      <c r="O78" s="11"/>
      <c r="P78" s="6">
        <v>656.92</v>
      </c>
      <c r="Q78" s="2"/>
      <c r="R78" s="7">
        <f t="shared" si="52"/>
        <v>0</v>
      </c>
      <c r="S78" s="2"/>
      <c r="T78" s="6">
        <v>380.95</v>
      </c>
      <c r="U78" s="2"/>
      <c r="V78" s="7">
        <f t="shared" si="53"/>
        <v>0</v>
      </c>
      <c r="W78" s="2"/>
      <c r="X78" s="6">
        <f t="shared" si="54"/>
        <v>275.96999999999997</v>
      </c>
      <c r="Y78" s="2"/>
      <c r="Z78" s="7">
        <f t="shared" si="55"/>
        <v>0.72442577766111027</v>
      </c>
    </row>
    <row r="79" spans="1:26" s="24" customFormat="1" hidden="1" outlineLevel="2" x14ac:dyDescent="0.25">
      <c r="A79" s="29"/>
      <c r="B79" s="11" t="str">
        <f>CONCATENATE("          ", "6309", " - ", "TELEPHONE")</f>
        <v xml:space="preserve">          6309 - TELEPHONE</v>
      </c>
      <c r="C79" s="11"/>
      <c r="D79" s="6">
        <v>2976.08</v>
      </c>
      <c r="E79" s="2"/>
      <c r="F79" s="7">
        <f t="shared" si="48"/>
        <v>0</v>
      </c>
      <c r="G79" s="2"/>
      <c r="H79" s="6">
        <v>1744.12</v>
      </c>
      <c r="I79" s="2"/>
      <c r="J79" s="7">
        <f t="shared" si="49"/>
        <v>0</v>
      </c>
      <c r="K79" s="2"/>
      <c r="L79" s="6">
        <f t="shared" si="50"/>
        <v>1231.96</v>
      </c>
      <c r="M79" s="2"/>
      <c r="N79" s="7">
        <f t="shared" si="51"/>
        <v>0.70635048047152726</v>
      </c>
      <c r="O79" s="11"/>
      <c r="P79" s="6">
        <v>9166.42</v>
      </c>
      <c r="Q79" s="2"/>
      <c r="R79" s="7">
        <f t="shared" si="52"/>
        <v>0</v>
      </c>
      <c r="S79" s="2"/>
      <c r="T79" s="6">
        <v>7787.25</v>
      </c>
      <c r="U79" s="2"/>
      <c r="V79" s="7">
        <f t="shared" si="53"/>
        <v>0</v>
      </c>
      <c r="W79" s="2"/>
      <c r="X79" s="6">
        <f t="shared" si="54"/>
        <v>1379.17</v>
      </c>
      <c r="Y79" s="2"/>
      <c r="Z79" s="7">
        <f t="shared" si="55"/>
        <v>0.1771061671321712</v>
      </c>
    </row>
    <row r="80" spans="1:26" s="28" customFormat="1" outlineLevel="1" collapsed="1" x14ac:dyDescent="0.25">
      <c r="A80" s="27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SUM(OSRRefD22_18x_0)</f>
        <v>475</v>
      </c>
      <c r="E80" s="1"/>
      <c r="F80" s="5">
        <f t="shared" ref="F80:F83" si="56">IF(D$12=0,0,D80/D$12)</f>
        <v>0</v>
      </c>
      <c r="G80" s="1"/>
      <c r="H80" s="1">
        <f>SUM(OSRRefH22_18x_0)</f>
        <v>199</v>
      </c>
      <c r="I80" s="1"/>
      <c r="J80" s="5">
        <f t="shared" ref="J80:J83" si="57">IF(H$12=0,0,H80/H$12)</f>
        <v>0</v>
      </c>
      <c r="K80" s="1"/>
      <c r="L80" s="1">
        <f t="shared" ref="L80:L83" si="58">+D80-H80</f>
        <v>276</v>
      </c>
      <c r="M80" s="1"/>
      <c r="N80" s="5">
        <f t="shared" ref="N80:N83" si="59">IF(H80=0,0,L80/H80)</f>
        <v>1.3869346733668342</v>
      </c>
      <c r="O80" s="14"/>
      <c r="P80" s="1">
        <f>SUM(OSRRefP22_18x_0)</f>
        <v>1070</v>
      </c>
      <c r="Q80" s="1"/>
      <c r="R80" s="5">
        <f t="shared" ref="R80:R83" si="60">IF(P$12=0,0,P80/P$12)</f>
        <v>0</v>
      </c>
      <c r="S80" s="1"/>
      <c r="T80" s="1">
        <f>SUM(OSRRefT22_18x_0)</f>
        <v>301</v>
      </c>
      <c r="U80" s="1"/>
      <c r="V80" s="5">
        <f t="shared" ref="V80:V83" si="61">IF(T$12=0,0,T80/T$12)</f>
        <v>0</v>
      </c>
      <c r="W80" s="1"/>
      <c r="X80" s="1">
        <f t="shared" ref="X80:X83" si="62">+P80-T80</f>
        <v>769</v>
      </c>
      <c r="Y80" s="1"/>
      <c r="Z80" s="5">
        <f t="shared" ref="Z80:Z83" si="63">IF(T80=0,0,X80/T80)</f>
        <v>2.5548172757475083</v>
      </c>
    </row>
    <row r="81" spans="1:26" s="24" customFormat="1" hidden="1" outlineLevel="2" x14ac:dyDescent="0.25">
      <c r="A81" s="29"/>
      <c r="B81" s="11" t="str">
        <f>CONCATENATE("          ", "6376", " - ", "TRAINING")</f>
        <v xml:space="preserve">          6376 - TRAINING</v>
      </c>
      <c r="C81" s="11"/>
      <c r="D81" s="6">
        <v>475</v>
      </c>
      <c r="E81" s="2"/>
      <c r="F81" s="7">
        <f t="shared" si="56"/>
        <v>0</v>
      </c>
      <c r="G81" s="2"/>
      <c r="H81" s="6">
        <v>199</v>
      </c>
      <c r="I81" s="2"/>
      <c r="J81" s="7">
        <f t="shared" si="57"/>
        <v>0</v>
      </c>
      <c r="K81" s="2"/>
      <c r="L81" s="6">
        <f t="shared" si="58"/>
        <v>276</v>
      </c>
      <c r="M81" s="2"/>
      <c r="N81" s="7">
        <f t="shared" si="59"/>
        <v>1.3869346733668342</v>
      </c>
      <c r="O81" s="11"/>
      <c r="P81" s="6">
        <v>1070</v>
      </c>
      <c r="Q81" s="2"/>
      <c r="R81" s="7">
        <f t="shared" si="60"/>
        <v>0</v>
      </c>
      <c r="S81" s="2"/>
      <c r="T81" s="6">
        <v>301</v>
      </c>
      <c r="U81" s="2"/>
      <c r="V81" s="7">
        <f t="shared" si="61"/>
        <v>0</v>
      </c>
      <c r="W81" s="2"/>
      <c r="X81" s="6">
        <f t="shared" si="62"/>
        <v>769</v>
      </c>
      <c r="Y81" s="2"/>
      <c r="Z81" s="7">
        <f t="shared" si="63"/>
        <v>2.5548172757475083</v>
      </c>
    </row>
    <row r="82" spans="1:26" s="28" customFormat="1" outlineLevel="1" collapsed="1" x14ac:dyDescent="0.25">
      <c r="A82" s="27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SUM(OSRRefD22_19x_0)</f>
        <v>0</v>
      </c>
      <c r="E82" s="1"/>
      <c r="F82" s="5">
        <f t="shared" si="56"/>
        <v>0</v>
      </c>
      <c r="G82" s="1"/>
      <c r="H82" s="1">
        <f>SUM(OSRRefH22_19x_0)</f>
        <v>29.07</v>
      </c>
      <c r="I82" s="1"/>
      <c r="J82" s="5">
        <f t="shared" si="57"/>
        <v>0</v>
      </c>
      <c r="K82" s="1"/>
      <c r="L82" s="1">
        <f t="shared" si="58"/>
        <v>-29.07</v>
      </c>
      <c r="M82" s="1"/>
      <c r="N82" s="5">
        <f t="shared" si="59"/>
        <v>-1</v>
      </c>
      <c r="O82" s="14"/>
      <c r="P82" s="1">
        <f>SUM(OSRRefP22_19x_0)</f>
        <v>30.4</v>
      </c>
      <c r="Q82" s="1"/>
      <c r="R82" s="5">
        <f t="shared" si="60"/>
        <v>0</v>
      </c>
      <c r="S82" s="1"/>
      <c r="T82" s="1">
        <f>SUM(OSRRefT22_19x_0)</f>
        <v>46.62</v>
      </c>
      <c r="U82" s="1"/>
      <c r="V82" s="5">
        <f t="shared" si="61"/>
        <v>0</v>
      </c>
      <c r="W82" s="1"/>
      <c r="X82" s="1">
        <f t="shared" si="62"/>
        <v>-16.22</v>
      </c>
      <c r="Y82" s="1"/>
      <c r="Z82" s="5">
        <f t="shared" si="63"/>
        <v>-0.34791934791934792</v>
      </c>
    </row>
    <row r="83" spans="1:26" s="24" customFormat="1" hidden="1" outlineLevel="2" x14ac:dyDescent="0.25">
      <c r="A83" s="29"/>
      <c r="B83" s="11" t="str">
        <f>CONCATENATE("          ", "6294", " - ", "TRAVEL OPERATIONAL")</f>
        <v xml:space="preserve">          6294 - TRAVEL OPERATIONAL</v>
      </c>
      <c r="C83" s="11"/>
      <c r="D83" s="6"/>
      <c r="E83" s="2"/>
      <c r="F83" s="7">
        <f t="shared" si="56"/>
        <v>0</v>
      </c>
      <c r="G83" s="2"/>
      <c r="H83" s="6">
        <v>29.07</v>
      </c>
      <c r="I83" s="2"/>
      <c r="J83" s="7">
        <f t="shared" si="57"/>
        <v>0</v>
      </c>
      <c r="K83" s="2"/>
      <c r="L83" s="6">
        <f t="shared" si="58"/>
        <v>-29.07</v>
      </c>
      <c r="M83" s="2"/>
      <c r="N83" s="7">
        <f t="shared" si="59"/>
        <v>-1</v>
      </c>
      <c r="O83" s="11"/>
      <c r="P83" s="6">
        <v>30.4</v>
      </c>
      <c r="Q83" s="2"/>
      <c r="R83" s="7">
        <f t="shared" si="60"/>
        <v>0</v>
      </c>
      <c r="S83" s="2"/>
      <c r="T83" s="6">
        <v>46.62</v>
      </c>
      <c r="U83" s="2"/>
      <c r="V83" s="7">
        <f t="shared" si="61"/>
        <v>0</v>
      </c>
      <c r="W83" s="2"/>
      <c r="X83" s="6">
        <f t="shared" si="62"/>
        <v>-16.22</v>
      </c>
      <c r="Y83" s="2"/>
      <c r="Z83" s="7">
        <f t="shared" si="63"/>
        <v>-0.34791934791934792</v>
      </c>
    </row>
    <row r="84" spans="1:26" s="56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5" t="s">
        <v>292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6" t="s">
        <v>276</v>
      </c>
      <c r="C87" s="26"/>
      <c r="D87" s="22">
        <f>+D16-D18+D85</f>
        <v>-248611.91999999993</v>
      </c>
      <c r="E87" s="13"/>
      <c r="F87" s="20">
        <f>IF(D$12=0,0,D87/D$12)</f>
        <v>0</v>
      </c>
      <c r="G87" s="13"/>
      <c r="H87" s="22">
        <f>+H16-H18+H85</f>
        <v>-259749.95</v>
      </c>
      <c r="I87" s="13"/>
      <c r="J87" s="20">
        <f>IF(H$12=0,0,H87/H$12)</f>
        <v>0</v>
      </c>
      <c r="K87" s="15"/>
      <c r="L87" s="22">
        <f>+D87-H87</f>
        <v>11138.030000000086</v>
      </c>
      <c r="M87" s="15"/>
      <c r="N87" s="20">
        <f>IF(H87=0,0,L87/H87)</f>
        <v>-4.2879815761273816E-2</v>
      </c>
      <c r="O87" s="25"/>
      <c r="P87" s="22">
        <f>+P16-P18+P85</f>
        <v>-909856.62000000011</v>
      </c>
      <c r="Q87" s="13"/>
      <c r="R87" s="20">
        <f>IF(P$12=0,0,P87/P$12)</f>
        <v>0</v>
      </c>
      <c r="S87" s="13"/>
      <c r="T87" s="22">
        <f>+T16-T18+T85</f>
        <v>-923647.69000000029</v>
      </c>
      <c r="U87" s="13"/>
      <c r="V87" s="20">
        <f>IF(T$12=0,0,T87/T$12)</f>
        <v>0</v>
      </c>
      <c r="W87" s="15"/>
      <c r="X87" s="22">
        <f>+P87-T87</f>
        <v>13791.070000000182</v>
      </c>
      <c r="Y87" s="15"/>
      <c r="Z87" s="20">
        <f>IF(T87=0,0,X87/T87)</f>
        <v>-1.4931093477860782E-2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127</v>
      </c>
      <c r="C89" s="10"/>
      <c r="D89" s="4"/>
      <c r="E89" s="4"/>
      <c r="F89" s="12">
        <f>IF(D$12=0,0,D89/D$12)</f>
        <v>0</v>
      </c>
      <c r="G89" s="4"/>
      <c r="H89" s="4"/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/>
      <c r="Q89" s="4"/>
      <c r="R89" s="12">
        <f>IF(P$12=0,0,P89/P$12)</f>
        <v>0</v>
      </c>
      <c r="S89" s="4"/>
      <c r="T89" s="4"/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125</v>
      </c>
      <c r="C91" s="26"/>
      <c r="D91" s="33">
        <f>+D87-D89</f>
        <v>-248611.91999999993</v>
      </c>
      <c r="E91" s="13"/>
      <c r="F91" s="31">
        <f>IF(D$12=0,0,D91/D$12)</f>
        <v>0</v>
      </c>
      <c r="G91" s="13"/>
      <c r="H91" s="33">
        <f>+H87-H89</f>
        <v>-259749.95</v>
      </c>
      <c r="I91" s="13"/>
      <c r="J91" s="31">
        <f>IF(H$12=0,0,H91/H$12)</f>
        <v>0</v>
      </c>
      <c r="K91" s="15"/>
      <c r="L91" s="33">
        <f>D91-H91</f>
        <v>11138.030000000086</v>
      </c>
      <c r="M91" s="15"/>
      <c r="N91" s="31">
        <f>IF(H91=0,0,L91/H91)</f>
        <v>-4.2879815761273816E-2</v>
      </c>
      <c r="O91" s="25"/>
      <c r="P91" s="33">
        <f>+P87-P89</f>
        <v>-909856.62000000011</v>
      </c>
      <c r="Q91" s="13"/>
      <c r="R91" s="31">
        <f>IF(P$12=0,0,P91/P$12)</f>
        <v>0</v>
      </c>
      <c r="S91" s="13"/>
      <c r="T91" s="33">
        <f>+T87-T89</f>
        <v>-923647.69000000029</v>
      </c>
      <c r="U91" s="13"/>
      <c r="V91" s="31">
        <f>IF(T$12=0,0,T91/T$12)</f>
        <v>0</v>
      </c>
      <c r="W91" s="15"/>
      <c r="X91" s="33">
        <f>P91-T91</f>
        <v>13791.070000000182</v>
      </c>
      <c r="Y91" s="15"/>
      <c r="Z91" s="31">
        <f>IF(T91=0,0,X91/T91)</f>
        <v>-1.4931093477860782E-2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293</v>
      </c>
      <c r="C94" s="26"/>
      <c r="D94" s="34">
        <f>SUM(D91:D93)</f>
        <v>-248611.91999999993</v>
      </c>
      <c r="E94" s="13"/>
      <c r="F94" s="30">
        <f>IF(D$12=0,0,D94/D$12)</f>
        <v>0</v>
      </c>
      <c r="G94" s="13"/>
      <c r="H94" s="34">
        <f>SUM(H91:H93)</f>
        <v>-259749.95</v>
      </c>
      <c r="I94" s="13"/>
      <c r="J94" s="30">
        <f>IF(H$12=0,0,H94/H$12)</f>
        <v>0</v>
      </c>
      <c r="K94" s="15"/>
      <c r="L94" s="34">
        <f>+D94-H94</f>
        <v>11138.030000000086</v>
      </c>
      <c r="M94" s="15"/>
      <c r="N94" s="30">
        <f>IF(H94=0,0,L94/H94)</f>
        <v>-4.2879815761273816E-2</v>
      </c>
      <c r="O94" s="25"/>
      <c r="P94" s="34">
        <f>SUM(P91:P93)</f>
        <v>-909856.62000000011</v>
      </c>
      <c r="Q94" s="13"/>
      <c r="R94" s="30">
        <f>IF(P$12=0,0,P94/P$12)</f>
        <v>0</v>
      </c>
      <c r="S94" s="13"/>
      <c r="T94" s="34">
        <f>SUM(T91:T93)</f>
        <v>-923647.69000000029</v>
      </c>
      <c r="U94" s="13"/>
      <c r="V94" s="30">
        <f>IF(T$12=0,0,T94/T$12)</f>
        <v>0</v>
      </c>
      <c r="W94" s="15"/>
      <c r="X94" s="34">
        <f>+P94-T94</f>
        <v>13791.070000000182</v>
      </c>
      <c r="Y94" s="15"/>
      <c r="Z94" s="30">
        <f>IF(T94=0,0,X94/T94)</f>
        <v>-1.4931093477860782E-2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1">
        <v>44517.966978009259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7" t="s">
        <v>56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8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42121.599999999999</v>
      </c>
      <c r="E18" s="21"/>
      <c r="F18" s="36">
        <f t="shared" ref="F18:F26" si="0">IF(D$12=0,0,D18/D$12)</f>
        <v>0</v>
      </c>
      <c r="G18" s="21"/>
      <c r="H18" s="21">
        <f>SUM(OSRRefH22x_0)</f>
        <v>44751.53</v>
      </c>
      <c r="I18" s="21"/>
      <c r="J18" s="36">
        <f t="shared" ref="J18:J26" si="1">IF(H$12=0,0,H18/H$12)</f>
        <v>0</v>
      </c>
      <c r="K18" s="4"/>
      <c r="L18" s="21">
        <f t="shared" ref="L18:L26" si="2">+D18-H18</f>
        <v>-2629.9300000000003</v>
      </c>
      <c r="M18" s="4"/>
      <c r="N18" s="36">
        <f t="shared" ref="N18:N26" si="3">IF(H18=0,0,L18/H18)</f>
        <v>-5.876737622155042E-2</v>
      </c>
      <c r="O18" s="10"/>
      <c r="P18" s="21">
        <f>SUM(OSRRefP22x_0)</f>
        <v>140568.29999999999</v>
      </c>
      <c r="Q18" s="21"/>
      <c r="R18" s="36">
        <f t="shared" ref="R18:R26" si="4">IF(P$12=0,0,P18/P$12)</f>
        <v>0</v>
      </c>
      <c r="S18" s="21"/>
      <c r="T18" s="21">
        <f>SUM(OSRRefT22x_0)</f>
        <v>155009.10999999999</v>
      </c>
      <c r="U18" s="21"/>
      <c r="V18" s="36">
        <f t="shared" ref="V18:V26" si="5">IF(T$12=0,0,T18/T$12)</f>
        <v>0</v>
      </c>
      <c r="W18" s="4"/>
      <c r="X18" s="21">
        <f t="shared" ref="X18:X26" si="6">+P18-T18</f>
        <v>-14440.809999999998</v>
      </c>
      <c r="Y18" s="4"/>
      <c r="Z18" s="36">
        <f t="shared" ref="Z18:Z26" si="7">IF(T18=0,0,X18/T18)</f>
        <v>-9.3161040663997094E-2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27236.080000000002</v>
      </c>
      <c r="E19" s="1"/>
      <c r="F19" s="5">
        <f t="shared" si="0"/>
        <v>0</v>
      </c>
      <c r="G19" s="1"/>
      <c r="H19" s="1">
        <f>SUM(OSRRefH22_0x_0)</f>
        <v>30642.67</v>
      </c>
      <c r="I19" s="1"/>
      <c r="J19" s="5">
        <f t="shared" si="1"/>
        <v>0</v>
      </c>
      <c r="K19" s="1"/>
      <c r="L19" s="1">
        <f t="shared" si="2"/>
        <v>-3406.5899999999965</v>
      </c>
      <c r="M19" s="1"/>
      <c r="N19" s="5">
        <f t="shared" si="3"/>
        <v>-0.11117144817993982</v>
      </c>
      <c r="O19" s="14"/>
      <c r="P19" s="1">
        <f>SUM(OSRRefP22_0x_0)</f>
        <v>109657.26</v>
      </c>
      <c r="Q19" s="1"/>
      <c r="R19" s="5">
        <f t="shared" si="4"/>
        <v>0</v>
      </c>
      <c r="S19" s="1"/>
      <c r="T19" s="1">
        <f>SUM(OSRRefT22_0x_0)</f>
        <v>122405.68</v>
      </c>
      <c r="U19" s="1"/>
      <c r="V19" s="5">
        <f t="shared" si="5"/>
        <v>0</v>
      </c>
      <c r="W19" s="1"/>
      <c r="X19" s="1">
        <f t="shared" si="6"/>
        <v>-12748.419999999998</v>
      </c>
      <c r="Y19" s="1"/>
      <c r="Z19" s="5">
        <f t="shared" si="7"/>
        <v>-0.10414892511523974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6">
        <v>27236.080000000002</v>
      </c>
      <c r="E20" s="2"/>
      <c r="F20" s="7">
        <f t="shared" si="0"/>
        <v>0</v>
      </c>
      <c r="G20" s="2"/>
      <c r="H20" s="6">
        <v>30642.67</v>
      </c>
      <c r="I20" s="2"/>
      <c r="J20" s="7">
        <f t="shared" si="1"/>
        <v>0</v>
      </c>
      <c r="K20" s="2"/>
      <c r="L20" s="6">
        <f t="shared" si="2"/>
        <v>-3406.5899999999965</v>
      </c>
      <c r="M20" s="2"/>
      <c r="N20" s="7">
        <f t="shared" si="3"/>
        <v>-0.11117144817993982</v>
      </c>
      <c r="O20" s="11"/>
      <c r="P20" s="6">
        <v>109657.26</v>
      </c>
      <c r="Q20" s="2"/>
      <c r="R20" s="7">
        <f t="shared" si="4"/>
        <v>0</v>
      </c>
      <c r="S20" s="2"/>
      <c r="T20" s="6">
        <v>122405.68</v>
      </c>
      <c r="U20" s="2"/>
      <c r="V20" s="7">
        <f t="shared" si="5"/>
        <v>0</v>
      </c>
      <c r="W20" s="2"/>
      <c r="X20" s="6">
        <f t="shared" si="6"/>
        <v>-12748.419999999998</v>
      </c>
      <c r="Y20" s="2"/>
      <c r="Z20" s="7">
        <f t="shared" si="7"/>
        <v>-0.10414892511523974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3111.94</v>
      </c>
      <c r="E21" s="1"/>
      <c r="F21" s="5">
        <f t="shared" si="0"/>
        <v>0</v>
      </c>
      <c r="G21" s="1"/>
      <c r="H21" s="1">
        <f>SUM(OSRRefH22_1x_0)</f>
        <v>1972.94</v>
      </c>
      <c r="I21" s="1"/>
      <c r="J21" s="5">
        <f t="shared" si="1"/>
        <v>0</v>
      </c>
      <c r="K21" s="1"/>
      <c r="L21" s="1">
        <f t="shared" si="2"/>
        <v>1139</v>
      </c>
      <c r="M21" s="1"/>
      <c r="N21" s="5">
        <f t="shared" si="3"/>
        <v>0.57731101807454865</v>
      </c>
      <c r="O21" s="14"/>
      <c r="P21" s="1">
        <f>SUM(OSRRefP22_1x_0)</f>
        <v>5475.8</v>
      </c>
      <c r="Q21" s="1"/>
      <c r="R21" s="5">
        <f t="shared" si="4"/>
        <v>0</v>
      </c>
      <c r="S21" s="1"/>
      <c r="T21" s="1">
        <f>SUM(OSRRefT22_1x_0)</f>
        <v>2910.92</v>
      </c>
      <c r="U21" s="1"/>
      <c r="V21" s="5">
        <f t="shared" si="5"/>
        <v>0</v>
      </c>
      <c r="W21" s="1"/>
      <c r="X21" s="1">
        <f t="shared" si="6"/>
        <v>2564.88</v>
      </c>
      <c r="Y21" s="1"/>
      <c r="Z21" s="5">
        <f t="shared" si="7"/>
        <v>0.88112349360339692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6">
        <v>3111.94</v>
      </c>
      <c r="E22" s="2"/>
      <c r="F22" s="7">
        <f t="shared" si="0"/>
        <v>0</v>
      </c>
      <c r="G22" s="2"/>
      <c r="H22" s="6">
        <v>1972.94</v>
      </c>
      <c r="I22" s="2"/>
      <c r="J22" s="7">
        <f t="shared" si="1"/>
        <v>0</v>
      </c>
      <c r="K22" s="2"/>
      <c r="L22" s="6">
        <f t="shared" si="2"/>
        <v>1139</v>
      </c>
      <c r="M22" s="2"/>
      <c r="N22" s="7">
        <f t="shared" si="3"/>
        <v>0.57731101807454865</v>
      </c>
      <c r="O22" s="11"/>
      <c r="P22" s="6">
        <v>5475.8</v>
      </c>
      <c r="Q22" s="2"/>
      <c r="R22" s="7">
        <f t="shared" si="4"/>
        <v>0</v>
      </c>
      <c r="S22" s="2"/>
      <c r="T22" s="6">
        <v>2910.92</v>
      </c>
      <c r="U22" s="2"/>
      <c r="V22" s="7">
        <f t="shared" si="5"/>
        <v>0</v>
      </c>
      <c r="W22" s="2"/>
      <c r="X22" s="6">
        <f t="shared" si="6"/>
        <v>2564.88</v>
      </c>
      <c r="Y22" s="2"/>
      <c r="Z22" s="7">
        <f t="shared" si="7"/>
        <v>0.88112349360339692</v>
      </c>
    </row>
    <row r="23" spans="1:26" s="28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1435.83</v>
      </c>
      <c r="E23" s="1"/>
      <c r="F23" s="5">
        <f t="shared" si="0"/>
        <v>0</v>
      </c>
      <c r="G23" s="1"/>
      <c r="H23" s="1">
        <f>SUM(OSRRefH22_2x_0)</f>
        <v>550.16999999999996</v>
      </c>
      <c r="I23" s="1"/>
      <c r="J23" s="5">
        <f t="shared" si="1"/>
        <v>0</v>
      </c>
      <c r="K23" s="1"/>
      <c r="L23" s="1">
        <f t="shared" si="2"/>
        <v>885.66</v>
      </c>
      <c r="M23" s="1"/>
      <c r="N23" s="5">
        <f t="shared" si="3"/>
        <v>1.6097933366050494</v>
      </c>
      <c r="O23" s="14"/>
      <c r="P23" s="1">
        <f>SUM(OSRRefP22_2x_0)</f>
        <v>4759.74</v>
      </c>
      <c r="Q23" s="1"/>
      <c r="R23" s="5">
        <f t="shared" si="4"/>
        <v>0</v>
      </c>
      <c r="S23" s="1"/>
      <c r="T23" s="1">
        <f>SUM(OSRRefT22_2x_0)</f>
        <v>6521.01</v>
      </c>
      <c r="U23" s="1"/>
      <c r="V23" s="5">
        <f t="shared" si="5"/>
        <v>0</v>
      </c>
      <c r="W23" s="1"/>
      <c r="X23" s="1">
        <f t="shared" si="6"/>
        <v>-1761.2700000000004</v>
      </c>
      <c r="Y23" s="1"/>
      <c r="Z23" s="5">
        <f t="shared" si="7"/>
        <v>-0.27009159624045975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6">
        <v>1435.83</v>
      </c>
      <c r="E24" s="2"/>
      <c r="F24" s="7">
        <f t="shared" si="0"/>
        <v>0</v>
      </c>
      <c r="G24" s="2"/>
      <c r="H24" s="6">
        <v>550.16999999999996</v>
      </c>
      <c r="I24" s="2"/>
      <c r="J24" s="7">
        <f t="shared" si="1"/>
        <v>0</v>
      </c>
      <c r="K24" s="2"/>
      <c r="L24" s="6">
        <f t="shared" si="2"/>
        <v>885.66</v>
      </c>
      <c r="M24" s="2"/>
      <c r="N24" s="7">
        <f t="shared" si="3"/>
        <v>1.6097933366050494</v>
      </c>
      <c r="O24" s="11"/>
      <c r="P24" s="6">
        <v>4759.74</v>
      </c>
      <c r="Q24" s="2"/>
      <c r="R24" s="7">
        <f t="shared" si="4"/>
        <v>0</v>
      </c>
      <c r="S24" s="2"/>
      <c r="T24" s="6">
        <v>6521.01</v>
      </c>
      <c r="U24" s="2"/>
      <c r="V24" s="7">
        <f t="shared" si="5"/>
        <v>0</v>
      </c>
      <c r="W24" s="2"/>
      <c r="X24" s="6">
        <f t="shared" si="6"/>
        <v>-1761.2700000000004</v>
      </c>
      <c r="Y24" s="2"/>
      <c r="Z24" s="7">
        <f t="shared" si="7"/>
        <v>-0.27009159624045975</v>
      </c>
    </row>
    <row r="25" spans="1:26" s="28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10337.75</v>
      </c>
      <c r="E25" s="1"/>
      <c r="F25" s="5">
        <f t="shared" si="0"/>
        <v>0</v>
      </c>
      <c r="G25" s="1"/>
      <c r="H25" s="1">
        <f>SUM(OSRRefH22_3x_0)</f>
        <v>11585.75</v>
      </c>
      <c r="I25" s="1"/>
      <c r="J25" s="5">
        <f t="shared" si="1"/>
        <v>0</v>
      </c>
      <c r="K25" s="1"/>
      <c r="L25" s="1">
        <f t="shared" si="2"/>
        <v>-1248</v>
      </c>
      <c r="M25" s="1"/>
      <c r="N25" s="5">
        <f t="shared" si="3"/>
        <v>-0.10771853354336146</v>
      </c>
      <c r="O25" s="14"/>
      <c r="P25" s="1">
        <f>SUM(OSRRefP22_3x_0)</f>
        <v>20675.5</v>
      </c>
      <c r="Q25" s="1"/>
      <c r="R25" s="5">
        <f t="shared" si="4"/>
        <v>0</v>
      </c>
      <c r="S25" s="1"/>
      <c r="T25" s="1">
        <f>SUM(OSRRefT22_3x_0)</f>
        <v>23171.5</v>
      </c>
      <c r="U25" s="1"/>
      <c r="V25" s="5">
        <f t="shared" si="5"/>
        <v>0</v>
      </c>
      <c r="W25" s="1"/>
      <c r="X25" s="1">
        <f t="shared" si="6"/>
        <v>-2496</v>
      </c>
      <c r="Y25" s="1"/>
      <c r="Z25" s="5">
        <f t="shared" si="7"/>
        <v>-0.10771853354336146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10337.75</v>
      </c>
      <c r="E26" s="2"/>
      <c r="F26" s="7">
        <f t="shared" si="0"/>
        <v>0</v>
      </c>
      <c r="G26" s="2"/>
      <c r="H26" s="6">
        <v>11585.75</v>
      </c>
      <c r="I26" s="2"/>
      <c r="J26" s="7">
        <f t="shared" si="1"/>
        <v>0</v>
      </c>
      <c r="K26" s="2"/>
      <c r="L26" s="6">
        <f t="shared" si="2"/>
        <v>-1248</v>
      </c>
      <c r="M26" s="2"/>
      <c r="N26" s="7">
        <f t="shared" si="3"/>
        <v>-0.10771853354336146</v>
      </c>
      <c r="O26" s="11"/>
      <c r="P26" s="6">
        <v>20675.5</v>
      </c>
      <c r="Q26" s="2"/>
      <c r="R26" s="7">
        <f t="shared" si="4"/>
        <v>0</v>
      </c>
      <c r="S26" s="2"/>
      <c r="T26" s="6">
        <v>23171.5</v>
      </c>
      <c r="U26" s="2"/>
      <c r="V26" s="7">
        <f t="shared" si="5"/>
        <v>0</v>
      </c>
      <c r="W26" s="2"/>
      <c r="X26" s="6">
        <f t="shared" si="6"/>
        <v>-2496</v>
      </c>
      <c r="Y26" s="2"/>
      <c r="Z26" s="7">
        <f t="shared" si="7"/>
        <v>-0.10771853354336146</v>
      </c>
    </row>
    <row r="27" spans="1:26" s="56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276</v>
      </c>
      <c r="C30" s="26"/>
      <c r="D30" s="22">
        <f>+D16-D18+D28</f>
        <v>-42121.599999999999</v>
      </c>
      <c r="E30" s="13"/>
      <c r="F30" s="20">
        <f>IF(D$12=0,0,D30/D$12)</f>
        <v>0</v>
      </c>
      <c r="G30" s="13"/>
      <c r="H30" s="22">
        <f>+H16-H18+H28</f>
        <v>-44751.53</v>
      </c>
      <c r="I30" s="13"/>
      <c r="J30" s="20">
        <f>IF(H$12=0,0,H30/H$12)</f>
        <v>0</v>
      </c>
      <c r="K30" s="15"/>
      <c r="L30" s="22">
        <f>+D30-H30</f>
        <v>2629.9300000000003</v>
      </c>
      <c r="M30" s="15"/>
      <c r="N30" s="20">
        <f>IF(H30=0,0,L30/H30)</f>
        <v>-5.876737622155042E-2</v>
      </c>
      <c r="O30" s="25"/>
      <c r="P30" s="22">
        <f>+P16-P18+P28</f>
        <v>-140568.29999999999</v>
      </c>
      <c r="Q30" s="13"/>
      <c r="R30" s="20">
        <f>IF(P$12=0,0,P30/P$12)</f>
        <v>0</v>
      </c>
      <c r="S30" s="13"/>
      <c r="T30" s="22">
        <f>+T16-T18+T28</f>
        <v>-155009.10999999999</v>
      </c>
      <c r="U30" s="13"/>
      <c r="V30" s="20">
        <f>IF(T$12=0,0,T30/T$12)</f>
        <v>0</v>
      </c>
      <c r="W30" s="15"/>
      <c r="X30" s="22">
        <f>+P30-T30</f>
        <v>14440.809999999998</v>
      </c>
      <c r="Y30" s="15"/>
      <c r="Z30" s="20">
        <f>IF(T30=0,0,X30/T30)</f>
        <v>-9.3161040663997094E-2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125</v>
      </c>
      <c r="C34" s="26"/>
      <c r="D34" s="33">
        <f>+D30-D32</f>
        <v>-42121.599999999999</v>
      </c>
      <c r="E34" s="13"/>
      <c r="F34" s="31">
        <f>IF(D$12=0,0,D34/D$12)</f>
        <v>0</v>
      </c>
      <c r="G34" s="13"/>
      <c r="H34" s="33">
        <f>+H30-H32</f>
        <v>-44751.53</v>
      </c>
      <c r="I34" s="13"/>
      <c r="J34" s="31">
        <f>IF(H$12=0,0,H34/H$12)</f>
        <v>0</v>
      </c>
      <c r="K34" s="15"/>
      <c r="L34" s="33">
        <f>D34-H34</f>
        <v>2629.9300000000003</v>
      </c>
      <c r="M34" s="15"/>
      <c r="N34" s="31">
        <f>IF(H34=0,0,L34/H34)</f>
        <v>-5.876737622155042E-2</v>
      </c>
      <c r="O34" s="25"/>
      <c r="P34" s="33">
        <f>+P30-P32</f>
        <v>-140568.29999999999</v>
      </c>
      <c r="Q34" s="13"/>
      <c r="R34" s="31">
        <f>IF(P$12=0,0,P34/P$12)</f>
        <v>0</v>
      </c>
      <c r="S34" s="13"/>
      <c r="T34" s="33">
        <f>+T30-T32</f>
        <v>-155009.10999999999</v>
      </c>
      <c r="U34" s="13"/>
      <c r="V34" s="31">
        <f>IF(T$12=0,0,T34/T$12)</f>
        <v>0</v>
      </c>
      <c r="W34" s="15"/>
      <c r="X34" s="33">
        <f>P34-T34</f>
        <v>14440.809999999998</v>
      </c>
      <c r="Y34" s="15"/>
      <c r="Z34" s="31">
        <f>IF(T34=0,0,X34/T34)</f>
        <v>-9.3161040663997094E-2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293</v>
      </c>
      <c r="C37" s="26"/>
      <c r="D37" s="34">
        <f>SUM(D34:D36)</f>
        <v>-42121.599999999999</v>
      </c>
      <c r="E37" s="13"/>
      <c r="F37" s="30">
        <f>IF(D$12=0,0,D37/D$12)</f>
        <v>0</v>
      </c>
      <c r="G37" s="13"/>
      <c r="H37" s="34">
        <f>SUM(H34:H36)</f>
        <v>-44751.53</v>
      </c>
      <c r="I37" s="13"/>
      <c r="J37" s="30">
        <f>IF(H$12=0,0,H37/H$12)</f>
        <v>0</v>
      </c>
      <c r="K37" s="15"/>
      <c r="L37" s="34">
        <f>+D37-H37</f>
        <v>2629.9300000000003</v>
      </c>
      <c r="M37" s="15"/>
      <c r="N37" s="30">
        <f>IF(H37=0,0,L37/H37)</f>
        <v>-5.876737622155042E-2</v>
      </c>
      <c r="O37" s="25"/>
      <c r="P37" s="34">
        <f>SUM(P34:P36)</f>
        <v>-140568.29999999999</v>
      </c>
      <c r="Q37" s="13"/>
      <c r="R37" s="30">
        <f>IF(P$12=0,0,P37/P$12)</f>
        <v>0</v>
      </c>
      <c r="S37" s="13"/>
      <c r="T37" s="34">
        <f>SUM(T34:T36)</f>
        <v>-155009.10999999999</v>
      </c>
      <c r="U37" s="13"/>
      <c r="V37" s="30">
        <f>IF(T$12=0,0,T37/T$12)</f>
        <v>0</v>
      </c>
      <c r="W37" s="15"/>
      <c r="X37" s="34">
        <f>+P37-T37</f>
        <v>14440.809999999998</v>
      </c>
      <c r="Y37" s="15"/>
      <c r="Z37" s="30">
        <f>IF(T37=0,0,X37/T37)</f>
        <v>-9.3161040663997094E-2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1">
        <v>44517.967041516204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8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27845.48</v>
      </c>
      <c r="E18" s="21"/>
      <c r="F18" s="36">
        <f t="shared" ref="F18:F27" si="0">IF(D$12=0,0,D18/D$12)</f>
        <v>0</v>
      </c>
      <c r="G18" s="21"/>
      <c r="H18" s="21">
        <f>SUM(OSRRefH22x_0)</f>
        <v>35310.55999999999</v>
      </c>
      <c r="I18" s="21"/>
      <c r="J18" s="36">
        <f t="shared" ref="J18:J27" si="1">IF(H$12=0,0,H18/H$12)</f>
        <v>0</v>
      </c>
      <c r="K18" s="4"/>
      <c r="L18" s="21">
        <f t="shared" ref="L18:L27" si="2">+D18-H18</f>
        <v>-7465.0799999999908</v>
      </c>
      <c r="M18" s="4"/>
      <c r="N18" s="36">
        <f t="shared" ref="N18:N27" si="3">IF(H18=0,0,L18/H18)</f>
        <v>-0.21141211014495359</v>
      </c>
      <c r="O18" s="10"/>
      <c r="P18" s="21">
        <f>SUM(OSRRefP22x_0)</f>
        <v>135984.29999999999</v>
      </c>
      <c r="Q18" s="21"/>
      <c r="R18" s="36">
        <f t="shared" ref="R18:R27" si="4">IF(P$12=0,0,P18/P$12)</f>
        <v>0</v>
      </c>
      <c r="S18" s="21"/>
      <c r="T18" s="21">
        <f>SUM(OSRRefT22x_0)</f>
        <v>142566.82</v>
      </c>
      <c r="U18" s="21"/>
      <c r="V18" s="36">
        <f t="shared" ref="V18:V27" si="5">IF(T$12=0,0,T18/T$12)</f>
        <v>0</v>
      </c>
      <c r="W18" s="4"/>
      <c r="X18" s="21">
        <f t="shared" ref="X18:X27" si="6">+P18-T18</f>
        <v>-6582.5200000000186</v>
      </c>
      <c r="Y18" s="4"/>
      <c r="Z18" s="36">
        <f t="shared" ref="Z18:Z27" si="7">IF(T18=0,0,X18/T18)</f>
        <v>-4.6171472436574081E-2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12891.19</v>
      </c>
      <c r="E19" s="1"/>
      <c r="F19" s="5">
        <f t="shared" si="0"/>
        <v>0</v>
      </c>
      <c r="G19" s="1"/>
      <c r="H19" s="1">
        <f>SUM(OSRRefH22_0x_0)</f>
        <v>11601.890000000001</v>
      </c>
      <c r="I19" s="1"/>
      <c r="J19" s="5">
        <f t="shared" si="1"/>
        <v>0</v>
      </c>
      <c r="K19" s="1"/>
      <c r="L19" s="1">
        <f t="shared" si="2"/>
        <v>1289.2999999999993</v>
      </c>
      <c r="M19" s="1"/>
      <c r="N19" s="5">
        <f t="shared" si="3"/>
        <v>0.11112844545155998</v>
      </c>
      <c r="O19" s="14"/>
      <c r="P19" s="1">
        <f>SUM(OSRRefP22_0x_0)</f>
        <v>44013.34</v>
      </c>
      <c r="Q19" s="1"/>
      <c r="R19" s="5">
        <f t="shared" si="4"/>
        <v>0</v>
      </c>
      <c r="S19" s="1"/>
      <c r="T19" s="1">
        <f>SUM(OSRRefT22_0x_0)</f>
        <v>43094.34</v>
      </c>
      <c r="U19" s="1"/>
      <c r="V19" s="5">
        <f t="shared" si="5"/>
        <v>0</v>
      </c>
      <c r="W19" s="1"/>
      <c r="X19" s="1">
        <f t="shared" si="6"/>
        <v>919</v>
      </c>
      <c r="Y19" s="1"/>
      <c r="Z19" s="5">
        <f t="shared" si="7"/>
        <v>2.1325306293123413E-2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1411.45</v>
      </c>
      <c r="E20" s="2"/>
      <c r="F20" s="7">
        <f t="shared" si="0"/>
        <v>0</v>
      </c>
      <c r="G20" s="2"/>
      <c r="H20" s="6">
        <v>1525.7</v>
      </c>
      <c r="I20" s="2"/>
      <c r="J20" s="7">
        <f t="shared" si="1"/>
        <v>0</v>
      </c>
      <c r="K20" s="2"/>
      <c r="L20" s="6">
        <f t="shared" si="2"/>
        <v>-114.25</v>
      </c>
      <c r="M20" s="2"/>
      <c r="N20" s="7">
        <f t="shared" si="3"/>
        <v>-7.4883659959362914E-2</v>
      </c>
      <c r="O20" s="11"/>
      <c r="P20" s="6">
        <v>5768.91</v>
      </c>
      <c r="Q20" s="2"/>
      <c r="R20" s="7">
        <f t="shared" si="4"/>
        <v>0</v>
      </c>
      <c r="S20" s="2"/>
      <c r="T20" s="6">
        <v>5700.4</v>
      </c>
      <c r="U20" s="2"/>
      <c r="V20" s="7">
        <f t="shared" si="5"/>
        <v>0</v>
      </c>
      <c r="W20" s="2"/>
      <c r="X20" s="6">
        <f t="shared" si="6"/>
        <v>68.510000000000218</v>
      </c>
      <c r="Y20" s="2"/>
      <c r="Z20" s="7">
        <f t="shared" si="7"/>
        <v>1.2018454845274055E-2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368.36</v>
      </c>
      <c r="E21" s="2"/>
      <c r="F21" s="7">
        <f t="shared" si="0"/>
        <v>0</v>
      </c>
      <c r="G21" s="2"/>
      <c r="H21" s="6">
        <v>62.43</v>
      </c>
      <c r="I21" s="2"/>
      <c r="J21" s="7">
        <f t="shared" si="1"/>
        <v>0</v>
      </c>
      <c r="K21" s="2"/>
      <c r="L21" s="6">
        <f t="shared" si="2"/>
        <v>305.93</v>
      </c>
      <c r="M21" s="2"/>
      <c r="N21" s="7">
        <f t="shared" si="3"/>
        <v>4.9003684126221367</v>
      </c>
      <c r="O21" s="11"/>
      <c r="P21" s="6">
        <v>1103.1400000000001</v>
      </c>
      <c r="Q21" s="2"/>
      <c r="R21" s="7">
        <f t="shared" si="4"/>
        <v>0</v>
      </c>
      <c r="S21" s="2"/>
      <c r="T21" s="6">
        <v>249.75</v>
      </c>
      <c r="U21" s="2"/>
      <c r="V21" s="7">
        <f t="shared" si="5"/>
        <v>0</v>
      </c>
      <c r="W21" s="2"/>
      <c r="X21" s="6">
        <f t="shared" si="6"/>
        <v>853.3900000000001</v>
      </c>
      <c r="Y21" s="2"/>
      <c r="Z21" s="7">
        <f t="shared" si="7"/>
        <v>3.4169769769769776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3909.65</v>
      </c>
      <c r="E22" s="2"/>
      <c r="F22" s="7">
        <f t="shared" si="0"/>
        <v>0</v>
      </c>
      <c r="G22" s="2"/>
      <c r="H22" s="6">
        <v>4070.76</v>
      </c>
      <c r="I22" s="2"/>
      <c r="J22" s="7">
        <f t="shared" si="1"/>
        <v>0</v>
      </c>
      <c r="K22" s="2"/>
      <c r="L22" s="6">
        <f t="shared" si="2"/>
        <v>-161.11000000000013</v>
      </c>
      <c r="M22" s="2"/>
      <c r="N22" s="7">
        <f t="shared" si="3"/>
        <v>-3.9577376214760908E-2</v>
      </c>
      <c r="O22" s="11"/>
      <c r="P22" s="6">
        <v>15837.04</v>
      </c>
      <c r="Q22" s="2"/>
      <c r="R22" s="7">
        <f t="shared" si="4"/>
        <v>0</v>
      </c>
      <c r="S22" s="2"/>
      <c r="T22" s="6">
        <v>16177.72</v>
      </c>
      <c r="U22" s="2"/>
      <c r="V22" s="7">
        <f t="shared" si="5"/>
        <v>0</v>
      </c>
      <c r="W22" s="2"/>
      <c r="X22" s="6">
        <f t="shared" si="6"/>
        <v>-340.67999999999847</v>
      </c>
      <c r="Y22" s="2"/>
      <c r="Z22" s="7">
        <f t="shared" si="7"/>
        <v>-2.1058591692772435E-2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74.239999999999995</v>
      </c>
      <c r="E23" s="2"/>
      <c r="F23" s="7">
        <f t="shared" si="0"/>
        <v>0</v>
      </c>
      <c r="G23" s="2"/>
      <c r="H23" s="6">
        <v>49.19</v>
      </c>
      <c r="I23" s="2"/>
      <c r="J23" s="7">
        <f t="shared" si="1"/>
        <v>0</v>
      </c>
      <c r="K23" s="2"/>
      <c r="L23" s="6">
        <f t="shared" si="2"/>
        <v>25.049999999999997</v>
      </c>
      <c r="M23" s="2"/>
      <c r="N23" s="7">
        <f t="shared" si="3"/>
        <v>0.5092498475299857</v>
      </c>
      <c r="O23" s="11"/>
      <c r="P23" s="6">
        <v>222.34</v>
      </c>
      <c r="Q23" s="2"/>
      <c r="R23" s="7">
        <f t="shared" si="4"/>
        <v>0</v>
      </c>
      <c r="S23" s="2"/>
      <c r="T23" s="6">
        <v>196.78</v>
      </c>
      <c r="U23" s="2"/>
      <c r="V23" s="7">
        <f t="shared" si="5"/>
        <v>0</v>
      </c>
      <c r="W23" s="2"/>
      <c r="X23" s="6">
        <f t="shared" si="6"/>
        <v>25.560000000000002</v>
      </c>
      <c r="Y23" s="2"/>
      <c r="Z23" s="7">
        <f t="shared" si="7"/>
        <v>0.12989124911068198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3031.48</v>
      </c>
      <c r="E24" s="2"/>
      <c r="F24" s="7">
        <f t="shared" si="0"/>
        <v>0</v>
      </c>
      <c r="G24" s="2"/>
      <c r="H24" s="6">
        <v>2049.0300000000002</v>
      </c>
      <c r="I24" s="2"/>
      <c r="J24" s="7">
        <f t="shared" si="1"/>
        <v>0</v>
      </c>
      <c r="K24" s="2"/>
      <c r="L24" s="6">
        <f t="shared" si="2"/>
        <v>982.44999999999982</v>
      </c>
      <c r="M24" s="2"/>
      <c r="N24" s="7">
        <f t="shared" si="3"/>
        <v>0.47947077397597876</v>
      </c>
      <c r="O24" s="11"/>
      <c r="P24" s="6">
        <v>9094.42</v>
      </c>
      <c r="Q24" s="2"/>
      <c r="R24" s="7">
        <f t="shared" si="4"/>
        <v>0</v>
      </c>
      <c r="S24" s="2"/>
      <c r="T24" s="6">
        <v>9220.64</v>
      </c>
      <c r="U24" s="2"/>
      <c r="V24" s="7">
        <f t="shared" si="5"/>
        <v>0</v>
      </c>
      <c r="W24" s="2"/>
      <c r="X24" s="6">
        <f t="shared" si="6"/>
        <v>-126.21999999999935</v>
      </c>
      <c r="Y24" s="2"/>
      <c r="Z24" s="7">
        <f t="shared" si="7"/>
        <v>-1.36888545697478E-2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6">
        <v>2488.4699999999998</v>
      </c>
      <c r="E25" s="2"/>
      <c r="F25" s="7">
        <f t="shared" si="0"/>
        <v>0</v>
      </c>
      <c r="G25" s="2"/>
      <c r="H25" s="6">
        <v>2488.4699999999998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7465.41</v>
      </c>
      <c r="Q25" s="2"/>
      <c r="R25" s="7">
        <f t="shared" si="4"/>
        <v>0</v>
      </c>
      <c r="S25" s="2"/>
      <c r="T25" s="6">
        <v>7465.41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6">
        <v>1285.2</v>
      </c>
      <c r="E26" s="2"/>
      <c r="F26" s="7">
        <f t="shared" si="0"/>
        <v>0</v>
      </c>
      <c r="G26" s="2"/>
      <c r="H26" s="6">
        <v>1285.2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3855.6</v>
      </c>
      <c r="Q26" s="2"/>
      <c r="R26" s="7">
        <f t="shared" si="4"/>
        <v>0</v>
      </c>
      <c r="S26" s="2"/>
      <c r="T26" s="6">
        <v>3855.6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6">
        <v>322.33999999999997</v>
      </c>
      <c r="E27" s="2"/>
      <c r="F27" s="7">
        <f t="shared" si="0"/>
        <v>0</v>
      </c>
      <c r="G27" s="2"/>
      <c r="H27" s="6">
        <v>71.11</v>
      </c>
      <c r="I27" s="2"/>
      <c r="J27" s="7">
        <f t="shared" si="1"/>
        <v>0</v>
      </c>
      <c r="K27" s="2"/>
      <c r="L27" s="6">
        <f t="shared" si="2"/>
        <v>251.22999999999996</v>
      </c>
      <c r="M27" s="2"/>
      <c r="N27" s="7">
        <f t="shared" si="3"/>
        <v>3.5329770777668394</v>
      </c>
      <c r="O27" s="11"/>
      <c r="P27" s="6">
        <v>666.48</v>
      </c>
      <c r="Q27" s="2"/>
      <c r="R27" s="7">
        <f t="shared" si="4"/>
        <v>0</v>
      </c>
      <c r="S27" s="2"/>
      <c r="T27" s="6">
        <v>228.04</v>
      </c>
      <c r="U27" s="2"/>
      <c r="V27" s="7">
        <f t="shared" si="5"/>
        <v>0</v>
      </c>
      <c r="W27" s="2"/>
      <c r="X27" s="6">
        <f t="shared" si="6"/>
        <v>438.44000000000005</v>
      </c>
      <c r="Y27" s="2"/>
      <c r="Z27" s="7">
        <f t="shared" si="7"/>
        <v>1.9226451499736892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-7867.31</v>
      </c>
      <c r="E28" s="1"/>
      <c r="F28" s="5">
        <f t="shared" ref="F28:F31" si="8">IF(D$12=0,0,D28/D$12)</f>
        <v>0</v>
      </c>
      <c r="G28" s="1"/>
      <c r="H28" s="1">
        <f>SUM(OSRRefH22_1x_0)</f>
        <v>-21199.170000000002</v>
      </c>
      <c r="I28" s="1"/>
      <c r="J28" s="5">
        <f t="shared" ref="J28:J31" si="9">IF(H$12=0,0,H28/H$12)</f>
        <v>0</v>
      </c>
      <c r="K28" s="1"/>
      <c r="L28" s="1">
        <f t="shared" ref="L28:L31" si="10">+D28-H28</f>
        <v>13331.86</v>
      </c>
      <c r="M28" s="1"/>
      <c r="N28" s="5">
        <f t="shared" ref="N28:N31" si="11">IF(H28=0,0,L28/H28)</f>
        <v>-0.62888594223264394</v>
      </c>
      <c r="O28" s="14"/>
      <c r="P28" s="1">
        <f>SUM(OSRRefP22_1x_0)</f>
        <v>42986.66</v>
      </c>
      <c r="Q28" s="1"/>
      <c r="R28" s="5">
        <f t="shared" ref="R28:R31" si="12">IF(P$12=0,0,P28/P$12)</f>
        <v>0</v>
      </c>
      <c r="S28" s="1"/>
      <c r="T28" s="1">
        <f>SUM(OSRRefT22_1x_0)</f>
        <v>33463.049999999996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9523.6100000000079</v>
      </c>
      <c r="Y28" s="1"/>
      <c r="Z28" s="5">
        <f t="shared" ref="Z28:Z31" si="15">IF(T28=0,0,X28/T28)</f>
        <v>0.28460077607988538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6">
        <v>-13988.03</v>
      </c>
      <c r="E29" s="2"/>
      <c r="F29" s="7">
        <f t="shared" si="8"/>
        <v>0</v>
      </c>
      <c r="G29" s="2"/>
      <c r="H29" s="6">
        <v>17790.419999999998</v>
      </c>
      <c r="I29" s="2"/>
      <c r="J29" s="7">
        <f t="shared" si="9"/>
        <v>0</v>
      </c>
      <c r="K29" s="2"/>
      <c r="L29" s="6">
        <f t="shared" si="10"/>
        <v>-31778.449999999997</v>
      </c>
      <c r="M29" s="2"/>
      <c r="N29" s="7">
        <f t="shared" si="11"/>
        <v>-1.7862675529863825</v>
      </c>
      <c r="O29" s="11"/>
      <c r="P29" s="6">
        <v>23645.56</v>
      </c>
      <c r="Q29" s="2"/>
      <c r="R29" s="7">
        <f t="shared" si="12"/>
        <v>0</v>
      </c>
      <c r="S29" s="2"/>
      <c r="T29" s="6">
        <v>60211.57</v>
      </c>
      <c r="U29" s="2"/>
      <c r="V29" s="7">
        <f t="shared" si="13"/>
        <v>0</v>
      </c>
      <c r="W29" s="2"/>
      <c r="X29" s="6">
        <f t="shared" si="14"/>
        <v>-36566.009999999995</v>
      </c>
      <c r="Y29" s="2"/>
      <c r="Z29" s="7">
        <f t="shared" si="15"/>
        <v>-0.60729208688629099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6">
        <v>6120.72</v>
      </c>
      <c r="E30" s="2"/>
      <c r="F30" s="7">
        <f t="shared" si="8"/>
        <v>0</v>
      </c>
      <c r="G30" s="2"/>
      <c r="H30" s="6">
        <v>5967.7</v>
      </c>
      <c r="I30" s="2"/>
      <c r="J30" s="7">
        <f t="shared" si="9"/>
        <v>0</v>
      </c>
      <c r="K30" s="2"/>
      <c r="L30" s="6">
        <f t="shared" si="10"/>
        <v>153.02000000000044</v>
      </c>
      <c r="M30" s="2"/>
      <c r="N30" s="7">
        <f t="shared" si="11"/>
        <v>2.564136937178485E-2</v>
      </c>
      <c r="O30" s="11"/>
      <c r="P30" s="6">
        <v>19341.099999999999</v>
      </c>
      <c r="Q30" s="2"/>
      <c r="R30" s="7">
        <f t="shared" si="12"/>
        <v>0</v>
      </c>
      <c r="S30" s="2"/>
      <c r="T30" s="6">
        <v>18208.77</v>
      </c>
      <c r="U30" s="2"/>
      <c r="V30" s="7">
        <f t="shared" si="13"/>
        <v>0</v>
      </c>
      <c r="W30" s="2"/>
      <c r="X30" s="6">
        <f t="shared" si="14"/>
        <v>1132.3299999999981</v>
      </c>
      <c r="Y30" s="2"/>
      <c r="Z30" s="7">
        <f t="shared" si="15"/>
        <v>6.2185968629402101E-2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-44957.29</v>
      </c>
      <c r="I31" s="2"/>
      <c r="J31" s="7">
        <f t="shared" si="9"/>
        <v>0</v>
      </c>
      <c r="K31" s="2"/>
      <c r="L31" s="6">
        <f t="shared" si="10"/>
        <v>44957.29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-44957.29</v>
      </c>
      <c r="U31" s="2"/>
      <c r="V31" s="7">
        <f t="shared" si="13"/>
        <v>0</v>
      </c>
      <c r="W31" s="2"/>
      <c r="X31" s="6">
        <f t="shared" si="14"/>
        <v>44957.29</v>
      </c>
      <c r="Y31" s="2"/>
      <c r="Z31" s="7">
        <f t="shared" si="15"/>
        <v>-1</v>
      </c>
    </row>
    <row r="32" spans="1:26" s="28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0</v>
      </c>
      <c r="E32" s="1"/>
      <c r="F32" s="5">
        <f t="shared" ref="F32:F46" si="16">IF(D$12=0,0,D32/D$12)</f>
        <v>0</v>
      </c>
      <c r="G32" s="1"/>
      <c r="H32" s="1">
        <f>SUM(OSRRefH22_2x_0)</f>
        <v>0</v>
      </c>
      <c r="I32" s="1"/>
      <c r="J32" s="5">
        <f t="shared" ref="J32:J46" si="17">IF(H$12=0,0,H32/H$12)</f>
        <v>0</v>
      </c>
      <c r="K32" s="1"/>
      <c r="L32" s="1">
        <f t="shared" ref="L32:L46" si="18">+D32-H32</f>
        <v>0</v>
      </c>
      <c r="M32" s="1"/>
      <c r="N32" s="5">
        <f t="shared" ref="N32:N46" si="19">IF(H32=0,0,L32/H32)</f>
        <v>0</v>
      </c>
      <c r="O32" s="14"/>
      <c r="P32" s="1">
        <f>SUM(OSRRefP22_2x_0)</f>
        <v>186.42</v>
      </c>
      <c r="Q32" s="1"/>
      <c r="R32" s="5">
        <f t="shared" ref="R32:R46" si="20">IF(P$12=0,0,P32/P$12)</f>
        <v>0</v>
      </c>
      <c r="S32" s="1"/>
      <c r="T32" s="1">
        <f>SUM(OSRRefT22_2x_0)</f>
        <v>66.8</v>
      </c>
      <c r="U32" s="1"/>
      <c r="V32" s="5">
        <f t="shared" ref="V32:V46" si="21">IF(T$12=0,0,T32/T$12)</f>
        <v>0</v>
      </c>
      <c r="W32" s="1"/>
      <c r="X32" s="1">
        <f t="shared" ref="X32:X46" si="22">+P32-T32</f>
        <v>119.61999999999999</v>
      </c>
      <c r="Y32" s="1"/>
      <c r="Z32" s="5">
        <f t="shared" ref="Z32:Z46" si="23">IF(T32=0,0,X32/T32)</f>
        <v>1.7907185628742515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186.42</v>
      </c>
      <c r="Q33" s="2"/>
      <c r="R33" s="7">
        <f t="shared" si="20"/>
        <v>0</v>
      </c>
      <c r="S33" s="2"/>
      <c r="T33" s="6">
        <v>66.8</v>
      </c>
      <c r="U33" s="2"/>
      <c r="V33" s="7">
        <f t="shared" si="21"/>
        <v>0</v>
      </c>
      <c r="W33" s="2"/>
      <c r="X33" s="6">
        <f t="shared" si="22"/>
        <v>119.61999999999999</v>
      </c>
      <c r="Y33" s="2"/>
      <c r="Z33" s="7">
        <f t="shared" si="23"/>
        <v>1.7907185628742515</v>
      </c>
    </row>
    <row r="34" spans="1:26" s="28" customFormat="1" outlineLevel="1" collapsed="1" x14ac:dyDescent="0.25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314.87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1259.48</v>
      </c>
      <c r="Q34" s="1"/>
      <c r="R34" s="5">
        <f t="shared" si="20"/>
        <v>0</v>
      </c>
      <c r="S34" s="1"/>
      <c r="T34" s="1">
        <f>SUM(OSRRefT22_3x_0)</f>
        <v>1259.48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25">
      <c r="A35" s="29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314.87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>
        <v>1259.48</v>
      </c>
      <c r="Q35" s="2"/>
      <c r="R35" s="7">
        <f t="shared" si="20"/>
        <v>0</v>
      </c>
      <c r="S35" s="2"/>
      <c r="T35" s="6">
        <v>1259.48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8" customFormat="1" outlineLevel="1" collapsed="1" x14ac:dyDescent="0.25">
      <c r="A36" s="27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25000</v>
      </c>
      <c r="I36" s="1"/>
      <c r="J36" s="5">
        <f t="shared" si="17"/>
        <v>0</v>
      </c>
      <c r="K36" s="1"/>
      <c r="L36" s="1">
        <f t="shared" si="18"/>
        <v>-25000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25000</v>
      </c>
      <c r="U36" s="1"/>
      <c r="V36" s="5">
        <f t="shared" si="21"/>
        <v>0</v>
      </c>
      <c r="W36" s="1"/>
      <c r="X36" s="1">
        <f t="shared" si="22"/>
        <v>-25000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"6399", " - ", "DONATION-ON CAMPUS")</f>
        <v xml:space="preserve">          6399 - DONATION-ON CAMPUS</v>
      </c>
      <c r="C37" s="11"/>
      <c r="D37" s="6"/>
      <c r="E37" s="2"/>
      <c r="F37" s="7">
        <f t="shared" si="16"/>
        <v>0</v>
      </c>
      <c r="G37" s="2"/>
      <c r="H37" s="6">
        <v>25000</v>
      </c>
      <c r="I37" s="2"/>
      <c r="J37" s="7">
        <f t="shared" si="17"/>
        <v>0</v>
      </c>
      <c r="K37" s="2"/>
      <c r="L37" s="6">
        <f t="shared" si="18"/>
        <v>-25000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25000</v>
      </c>
      <c r="U37" s="2"/>
      <c r="V37" s="7">
        <f t="shared" si="21"/>
        <v>0</v>
      </c>
      <c r="W37" s="2"/>
      <c r="X37" s="6">
        <f t="shared" si="22"/>
        <v>-25000</v>
      </c>
      <c r="Y37" s="2"/>
      <c r="Z37" s="7">
        <f t="shared" si="23"/>
        <v>-1</v>
      </c>
    </row>
    <row r="38" spans="1:26" s="28" customFormat="1" outlineLevel="1" collapsed="1" x14ac:dyDescent="0.25">
      <c r="A38" s="27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117.71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SUM(OSRRefP22_5x_0)</f>
        <v>470.84</v>
      </c>
      <c r="Q38" s="1"/>
      <c r="R38" s="5">
        <f t="shared" si="20"/>
        <v>0</v>
      </c>
      <c r="S38" s="1"/>
      <c r="T38" s="1">
        <f>SUM(OSRRefT22_5x_0)</f>
        <v>470.84</v>
      </c>
      <c r="U38" s="1"/>
      <c r="V38" s="5">
        <f t="shared" si="21"/>
        <v>0</v>
      </c>
      <c r="W38" s="1"/>
      <c r="X38" s="1">
        <f t="shared" si="22"/>
        <v>0</v>
      </c>
      <c r="Y38" s="1"/>
      <c r="Z38" s="5">
        <f t="shared" si="23"/>
        <v>0</v>
      </c>
    </row>
    <row r="39" spans="1:26" s="24" customFormat="1" hidden="1" outlineLevel="2" x14ac:dyDescent="0.25">
      <c r="A39" s="29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117.71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>
        <v>470.84</v>
      </c>
      <c r="Q39" s="2"/>
      <c r="R39" s="7">
        <f t="shared" si="20"/>
        <v>0</v>
      </c>
      <c r="S39" s="2"/>
      <c r="T39" s="6">
        <v>470.84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38.78</v>
      </c>
      <c r="I40" s="1"/>
      <c r="J40" s="5">
        <f t="shared" si="17"/>
        <v>0</v>
      </c>
      <c r="K40" s="1"/>
      <c r="L40" s="1">
        <f t="shared" si="18"/>
        <v>-38.78</v>
      </c>
      <c r="M40" s="1"/>
      <c r="N40" s="5">
        <f t="shared" si="19"/>
        <v>-1</v>
      </c>
      <c r="O40" s="14"/>
      <c r="P40" s="1">
        <f>SUM(OSRRefP22_6x_0)</f>
        <v>19.850000000000001</v>
      </c>
      <c r="Q40" s="1"/>
      <c r="R40" s="5">
        <f t="shared" si="20"/>
        <v>0</v>
      </c>
      <c r="S40" s="1"/>
      <c r="T40" s="1">
        <f>SUM(OSRRefT22_6x_0)</f>
        <v>63.56</v>
      </c>
      <c r="U40" s="1"/>
      <c r="V40" s="5">
        <f t="shared" si="21"/>
        <v>0</v>
      </c>
      <c r="W40" s="1"/>
      <c r="X40" s="1">
        <f t="shared" si="22"/>
        <v>-43.71</v>
      </c>
      <c r="Y40" s="1"/>
      <c r="Z40" s="5">
        <f t="shared" si="23"/>
        <v>-0.68769666456891121</v>
      </c>
    </row>
    <row r="41" spans="1:26" s="24" customFormat="1" hidden="1" outlineLevel="2" x14ac:dyDescent="0.25">
      <c r="A41" s="29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38.78</v>
      </c>
      <c r="I41" s="2"/>
      <c r="J41" s="7">
        <f t="shared" si="17"/>
        <v>0</v>
      </c>
      <c r="K41" s="2"/>
      <c r="L41" s="6">
        <f t="shared" si="18"/>
        <v>-38.78</v>
      </c>
      <c r="M41" s="2"/>
      <c r="N41" s="7">
        <f t="shared" si="19"/>
        <v>-1</v>
      </c>
      <c r="O41" s="11"/>
      <c r="P41" s="6">
        <v>19.850000000000001</v>
      </c>
      <c r="Q41" s="2"/>
      <c r="R41" s="7">
        <f t="shared" si="20"/>
        <v>0</v>
      </c>
      <c r="S41" s="2"/>
      <c r="T41" s="6">
        <v>63.56</v>
      </c>
      <c r="U41" s="2"/>
      <c r="V41" s="7">
        <f t="shared" si="21"/>
        <v>0</v>
      </c>
      <c r="W41" s="2"/>
      <c r="X41" s="6">
        <f t="shared" si="22"/>
        <v>-43.71</v>
      </c>
      <c r="Y41" s="2"/>
      <c r="Z41" s="7">
        <f t="shared" si="23"/>
        <v>-0.68769666456891121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SUM(OSRRefD22_7x_0)</f>
        <v>156.47999999999999</v>
      </c>
      <c r="E42" s="1"/>
      <c r="F42" s="5">
        <f t="shared" si="16"/>
        <v>0</v>
      </c>
      <c r="G42" s="1"/>
      <c r="H42" s="1">
        <f>SUM(OSRRefH22_7x_0)</f>
        <v>115.13</v>
      </c>
      <c r="I42" s="1"/>
      <c r="J42" s="5">
        <f t="shared" si="17"/>
        <v>0</v>
      </c>
      <c r="K42" s="1"/>
      <c r="L42" s="1">
        <f t="shared" si="18"/>
        <v>41.349999999999994</v>
      </c>
      <c r="M42" s="1"/>
      <c r="N42" s="5">
        <f t="shared" si="19"/>
        <v>0.35915921132632672</v>
      </c>
      <c r="O42" s="14"/>
      <c r="P42" s="1">
        <f>SUM(OSRRefP22_7x_0)</f>
        <v>625.91999999999996</v>
      </c>
      <c r="Q42" s="1"/>
      <c r="R42" s="5">
        <f t="shared" si="20"/>
        <v>0</v>
      </c>
      <c r="S42" s="1"/>
      <c r="T42" s="1">
        <f>SUM(OSRRefT22_7x_0)</f>
        <v>460.52</v>
      </c>
      <c r="U42" s="1"/>
      <c r="V42" s="5">
        <f t="shared" si="21"/>
        <v>0</v>
      </c>
      <c r="W42" s="1"/>
      <c r="X42" s="1">
        <f t="shared" si="22"/>
        <v>165.39999999999998</v>
      </c>
      <c r="Y42" s="1"/>
      <c r="Z42" s="5">
        <f t="shared" si="23"/>
        <v>0.35915921132632672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6">
        <v>156.47999999999999</v>
      </c>
      <c r="E43" s="2"/>
      <c r="F43" s="7">
        <f t="shared" si="16"/>
        <v>0</v>
      </c>
      <c r="G43" s="2"/>
      <c r="H43" s="6">
        <v>115.13</v>
      </c>
      <c r="I43" s="2"/>
      <c r="J43" s="7">
        <f t="shared" si="17"/>
        <v>0</v>
      </c>
      <c r="K43" s="2"/>
      <c r="L43" s="6">
        <f t="shared" si="18"/>
        <v>41.349999999999994</v>
      </c>
      <c r="M43" s="2"/>
      <c r="N43" s="7">
        <f t="shared" si="19"/>
        <v>0.35915921132632672</v>
      </c>
      <c r="O43" s="11"/>
      <c r="P43" s="6">
        <v>625.91999999999996</v>
      </c>
      <c r="Q43" s="2"/>
      <c r="R43" s="7">
        <f t="shared" si="20"/>
        <v>0</v>
      </c>
      <c r="S43" s="2"/>
      <c r="T43" s="6">
        <v>460.52</v>
      </c>
      <c r="U43" s="2"/>
      <c r="V43" s="7">
        <f t="shared" si="21"/>
        <v>0</v>
      </c>
      <c r="W43" s="2"/>
      <c r="X43" s="6">
        <f t="shared" si="22"/>
        <v>165.39999999999998</v>
      </c>
      <c r="Y43" s="2"/>
      <c r="Z43" s="7">
        <f t="shared" si="23"/>
        <v>0.35915921132632672</v>
      </c>
    </row>
    <row r="44" spans="1:26" s="28" customFormat="1" outlineLevel="1" collapsed="1" x14ac:dyDescent="0.25">
      <c r="A44" s="27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SUM(OSRRefD22_8x_0)</f>
        <v>18825</v>
      </c>
      <c r="E44" s="1"/>
      <c r="F44" s="5">
        <f t="shared" si="16"/>
        <v>0</v>
      </c>
      <c r="G44" s="1"/>
      <c r="H44" s="1">
        <f>SUM(OSRRefH22_8x_0)</f>
        <v>16280</v>
      </c>
      <c r="I44" s="1"/>
      <c r="J44" s="5">
        <f t="shared" si="17"/>
        <v>0</v>
      </c>
      <c r="K44" s="1"/>
      <c r="L44" s="1">
        <f t="shared" si="18"/>
        <v>2545</v>
      </c>
      <c r="M44" s="1"/>
      <c r="N44" s="5">
        <f t="shared" si="19"/>
        <v>0.15632678132678132</v>
      </c>
      <c r="O44" s="14"/>
      <c r="P44" s="1">
        <f>SUM(OSRRefP22_8x_0)</f>
        <v>35325</v>
      </c>
      <c r="Q44" s="1"/>
      <c r="R44" s="5">
        <f t="shared" si="20"/>
        <v>0</v>
      </c>
      <c r="S44" s="1"/>
      <c r="T44" s="1">
        <f>SUM(OSRRefT22_8x_0)</f>
        <v>25930</v>
      </c>
      <c r="U44" s="1"/>
      <c r="V44" s="5">
        <f t="shared" si="21"/>
        <v>0</v>
      </c>
      <c r="W44" s="1"/>
      <c r="X44" s="1">
        <f t="shared" si="22"/>
        <v>9395</v>
      </c>
      <c r="Y44" s="1"/>
      <c r="Z44" s="5">
        <f t="shared" si="23"/>
        <v>0.36232163517161586</v>
      </c>
    </row>
    <row r="45" spans="1:26" s="24" customFormat="1" hidden="1" outlineLevel="2" x14ac:dyDescent="0.25">
      <c r="A45" s="29"/>
      <c r="B45" s="11" t="str">
        <f>CONCATENATE("          ", "6331", " - ", "INDIRECT COSTS-AUXILIARY ORGAN")</f>
        <v xml:space="preserve">          6331 - INDIRECT COSTS-AUXILIARY ORGAN</v>
      </c>
      <c r="C45" s="11"/>
      <c r="D45" s="6">
        <v>18750</v>
      </c>
      <c r="E45" s="2"/>
      <c r="F45" s="7">
        <f t="shared" si="16"/>
        <v>0</v>
      </c>
      <c r="G45" s="2"/>
      <c r="H45" s="6">
        <v>15000</v>
      </c>
      <c r="I45" s="2"/>
      <c r="J45" s="7">
        <f t="shared" si="17"/>
        <v>0</v>
      </c>
      <c r="K45" s="2"/>
      <c r="L45" s="6">
        <f t="shared" si="18"/>
        <v>3750</v>
      </c>
      <c r="M45" s="2"/>
      <c r="N45" s="7">
        <f t="shared" si="19"/>
        <v>0.25</v>
      </c>
      <c r="O45" s="11"/>
      <c r="P45" s="6">
        <v>35250</v>
      </c>
      <c r="Q45" s="2"/>
      <c r="R45" s="7">
        <f t="shared" si="20"/>
        <v>0</v>
      </c>
      <c r="S45" s="2"/>
      <c r="T45" s="6">
        <v>23500</v>
      </c>
      <c r="U45" s="2"/>
      <c r="V45" s="7">
        <f t="shared" si="21"/>
        <v>0</v>
      </c>
      <c r="W45" s="2"/>
      <c r="X45" s="6">
        <f t="shared" si="22"/>
        <v>11750</v>
      </c>
      <c r="Y45" s="2"/>
      <c r="Z45" s="7">
        <f t="shared" si="23"/>
        <v>0.5</v>
      </c>
    </row>
    <row r="46" spans="1:26" s="24" customFormat="1" hidden="1" outlineLevel="2" x14ac:dyDescent="0.25">
      <c r="A46" s="29"/>
      <c r="B46" s="11" t="str">
        <f>CONCATENATE("          ", "6334", " - ", "LEGAL COUNCIL EXPENSE")</f>
        <v xml:space="preserve">          6334 - LEGAL COUNCIL EXPENSE</v>
      </c>
      <c r="C46" s="11"/>
      <c r="D46" s="6">
        <v>75</v>
      </c>
      <c r="E46" s="2"/>
      <c r="F46" s="7">
        <f t="shared" si="16"/>
        <v>0</v>
      </c>
      <c r="G46" s="2"/>
      <c r="H46" s="6">
        <v>1280</v>
      </c>
      <c r="I46" s="2"/>
      <c r="J46" s="7">
        <f t="shared" si="17"/>
        <v>0</v>
      </c>
      <c r="K46" s="2"/>
      <c r="L46" s="6">
        <f t="shared" si="18"/>
        <v>-1205</v>
      </c>
      <c r="M46" s="2"/>
      <c r="N46" s="7">
        <f t="shared" si="19"/>
        <v>-0.94140625</v>
      </c>
      <c r="O46" s="11"/>
      <c r="P46" s="6">
        <v>75</v>
      </c>
      <c r="Q46" s="2"/>
      <c r="R46" s="7">
        <f t="shared" si="20"/>
        <v>0</v>
      </c>
      <c r="S46" s="2"/>
      <c r="T46" s="6">
        <v>2430</v>
      </c>
      <c r="U46" s="2"/>
      <c r="V46" s="7">
        <f t="shared" si="21"/>
        <v>0</v>
      </c>
      <c r="W46" s="2"/>
      <c r="X46" s="6">
        <f t="shared" si="22"/>
        <v>-2355</v>
      </c>
      <c r="Y46" s="2"/>
      <c r="Z46" s="7">
        <f t="shared" si="23"/>
        <v>-0.96913580246913578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SUM(OSRRefD22_9x_0)</f>
        <v>2699.47</v>
      </c>
      <c r="E47" s="1"/>
      <c r="F47" s="5">
        <f t="shared" ref="F47:F49" si="24">IF(D$12=0,0,D47/D$12)</f>
        <v>0</v>
      </c>
      <c r="G47" s="1"/>
      <c r="H47" s="1">
        <f>SUM(OSRRefH22_9x_0)</f>
        <v>2580.75</v>
      </c>
      <c r="I47" s="1"/>
      <c r="J47" s="5">
        <f t="shared" ref="J47:J49" si="25">IF(H$12=0,0,H47/H$12)</f>
        <v>0</v>
      </c>
      <c r="K47" s="1"/>
      <c r="L47" s="1">
        <f t="shared" ref="L47:L49" si="26">+D47-H47</f>
        <v>118.7199999999998</v>
      </c>
      <c r="M47" s="1"/>
      <c r="N47" s="5">
        <f t="shared" ref="N47:N49" si="27">IF(H47=0,0,L47/H47)</f>
        <v>4.600213116342141E-2</v>
      </c>
      <c r="O47" s="14"/>
      <c r="P47" s="1">
        <f>SUM(OSRRefP22_9x_0)</f>
        <v>8004.6399999999994</v>
      </c>
      <c r="Q47" s="1"/>
      <c r="R47" s="5">
        <f t="shared" ref="R47:R49" si="28">IF(P$12=0,0,P47/P$12)</f>
        <v>0</v>
      </c>
      <c r="S47" s="1"/>
      <c r="T47" s="1">
        <f>SUM(OSRRefT22_9x_0)</f>
        <v>9217.6299999999992</v>
      </c>
      <c r="U47" s="1"/>
      <c r="V47" s="5">
        <f t="shared" ref="V47:V49" si="29">IF(T$12=0,0,T47/T$12)</f>
        <v>0</v>
      </c>
      <c r="W47" s="1"/>
      <c r="X47" s="1">
        <f t="shared" ref="X47:X49" si="30">+P47-T47</f>
        <v>-1212.9899999999998</v>
      </c>
      <c r="Y47" s="1"/>
      <c r="Z47" s="5">
        <f t="shared" ref="Z47:Z49" si="31">IF(T47=0,0,X47/T47)</f>
        <v>-0.13159456389549157</v>
      </c>
    </row>
    <row r="48" spans="1:26" s="24" customFormat="1" hidden="1" outlineLevel="2" x14ac:dyDescent="0.25">
      <c r="A48" s="29"/>
      <c r="B48" s="11" t="str">
        <f>CONCATENATE("          ", "6373", " - ", "MAINTENANCE CONTRACTS")</f>
        <v xml:space="preserve">          6373 - MAINTENANCE CONTRACTS</v>
      </c>
      <c r="C48" s="11"/>
      <c r="D48" s="6">
        <v>2699.47</v>
      </c>
      <c r="E48" s="2"/>
      <c r="F48" s="7">
        <f t="shared" si="24"/>
        <v>0</v>
      </c>
      <c r="G48" s="2"/>
      <c r="H48" s="6">
        <v>2580.75</v>
      </c>
      <c r="I48" s="2"/>
      <c r="J48" s="7">
        <f t="shared" si="25"/>
        <v>0</v>
      </c>
      <c r="K48" s="2"/>
      <c r="L48" s="6">
        <f t="shared" si="26"/>
        <v>118.7199999999998</v>
      </c>
      <c r="M48" s="2"/>
      <c r="N48" s="7">
        <f t="shared" si="27"/>
        <v>4.600213116342141E-2</v>
      </c>
      <c r="O48" s="11"/>
      <c r="P48" s="6">
        <v>7906.65</v>
      </c>
      <c r="Q48" s="2"/>
      <c r="R48" s="7">
        <f t="shared" si="28"/>
        <v>0</v>
      </c>
      <c r="S48" s="2"/>
      <c r="T48" s="6">
        <v>9217.6299999999992</v>
      </c>
      <c r="U48" s="2"/>
      <c r="V48" s="7">
        <f t="shared" si="29"/>
        <v>0</v>
      </c>
      <c r="W48" s="2"/>
      <c r="X48" s="6">
        <f t="shared" si="30"/>
        <v>-1310.9799999999996</v>
      </c>
      <c r="Y48" s="2"/>
      <c r="Z48" s="7">
        <f t="shared" si="31"/>
        <v>-0.14222527916611968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>
        <v>97.99</v>
      </c>
      <c r="Q49" s="2"/>
      <c r="R49" s="7">
        <f t="shared" si="28"/>
        <v>0</v>
      </c>
      <c r="S49" s="2"/>
      <c r="T49" s="6"/>
      <c r="U49" s="2"/>
      <c r="V49" s="7">
        <f t="shared" si="29"/>
        <v>0</v>
      </c>
      <c r="W49" s="2"/>
      <c r="X49" s="6">
        <f t="shared" si="30"/>
        <v>97.99</v>
      </c>
      <c r="Y49" s="2"/>
      <c r="Z49" s="7">
        <f t="shared" si="31"/>
        <v>0</v>
      </c>
    </row>
    <row r="50" spans="1:26" s="28" customFormat="1" outlineLevel="1" collapsed="1" x14ac:dyDescent="0.25">
      <c r="A50" s="27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SUM(OSRRefD22_10x_0)</f>
        <v>0</v>
      </c>
      <c r="E50" s="1"/>
      <c r="F50" s="5">
        <f t="shared" ref="F50:F54" si="32">IF(D$12=0,0,D50/D$12)</f>
        <v>0</v>
      </c>
      <c r="G50" s="1"/>
      <c r="H50" s="1">
        <f>SUM(OSRRefH22_10x_0)</f>
        <v>0</v>
      </c>
      <c r="I50" s="1"/>
      <c r="J50" s="5">
        <f t="shared" ref="J50:J54" si="33">IF(H$12=0,0,H50/H$12)</f>
        <v>0</v>
      </c>
      <c r="K50" s="1"/>
      <c r="L50" s="1">
        <f t="shared" ref="L50:L54" si="34">+D50-H50</f>
        <v>0</v>
      </c>
      <c r="M50" s="1"/>
      <c r="N50" s="5">
        <f t="shared" ref="N50:N54" si="35">IF(H50=0,0,L50/H50)</f>
        <v>0</v>
      </c>
      <c r="O50" s="14"/>
      <c r="P50" s="1">
        <f>SUM(OSRRefP22_10x_0)</f>
        <v>1000</v>
      </c>
      <c r="Q50" s="1"/>
      <c r="R50" s="5">
        <f t="shared" ref="R50:R54" si="36">IF(P$12=0,0,P50/P$12)</f>
        <v>0</v>
      </c>
      <c r="S50" s="1"/>
      <c r="T50" s="1">
        <f>SUM(OSRRefT22_10x_0)</f>
        <v>1725</v>
      </c>
      <c r="U50" s="1"/>
      <c r="V50" s="5">
        <f t="shared" ref="V50:V54" si="37">IF(T$12=0,0,T50/T$12)</f>
        <v>0</v>
      </c>
      <c r="W50" s="1"/>
      <c r="X50" s="1">
        <f t="shared" ref="X50:X54" si="38">+P50-T50</f>
        <v>-725</v>
      </c>
      <c r="Y50" s="1"/>
      <c r="Z50" s="5">
        <f t="shared" ref="Z50:Z54" si="39">IF(T50=0,0,X50/T50)</f>
        <v>-0.42028985507246375</v>
      </c>
    </row>
    <row r="51" spans="1:26" s="24" customFormat="1" hidden="1" outlineLevel="2" x14ac:dyDescent="0.25">
      <c r="A51" s="29"/>
      <c r="B51" s="11" t="str">
        <f>CONCATENATE("          ", "6258", " - ", "MEMBERSHIP DUES")</f>
        <v xml:space="preserve">          6258 - MEMBERSHIP DUES</v>
      </c>
      <c r="C51" s="11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>
        <v>1000</v>
      </c>
      <c r="Q51" s="2"/>
      <c r="R51" s="7">
        <f t="shared" si="36"/>
        <v>0</v>
      </c>
      <c r="S51" s="2"/>
      <c r="T51" s="6">
        <v>1725</v>
      </c>
      <c r="U51" s="2"/>
      <c r="V51" s="7">
        <f t="shared" si="37"/>
        <v>0</v>
      </c>
      <c r="W51" s="2"/>
      <c r="X51" s="6">
        <f t="shared" si="38"/>
        <v>-725</v>
      </c>
      <c r="Y51" s="2"/>
      <c r="Z51" s="7">
        <f t="shared" si="39"/>
        <v>-0.42028985507246375</v>
      </c>
    </row>
    <row r="52" spans="1:26" s="28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SUM(OSRRefD22_11x_0)</f>
        <v>196.39</v>
      </c>
      <c r="E52" s="1"/>
      <c r="F52" s="5">
        <f t="shared" si="32"/>
        <v>0</v>
      </c>
      <c r="G52" s="1"/>
      <c r="H52" s="1">
        <f>SUM(OSRRefH22_11x_0)</f>
        <v>122.54</v>
      </c>
      <c r="I52" s="1"/>
      <c r="J52" s="5">
        <f t="shared" si="33"/>
        <v>0</v>
      </c>
      <c r="K52" s="1"/>
      <c r="L52" s="1">
        <f t="shared" si="34"/>
        <v>73.84999999999998</v>
      </c>
      <c r="M52" s="1"/>
      <c r="N52" s="5">
        <f t="shared" si="35"/>
        <v>0.6026603558021868</v>
      </c>
      <c r="O52" s="14"/>
      <c r="P52" s="1">
        <f>SUM(OSRRefP22_11x_0)</f>
        <v>222.28</v>
      </c>
      <c r="Q52" s="1"/>
      <c r="R52" s="5">
        <f t="shared" si="36"/>
        <v>0</v>
      </c>
      <c r="S52" s="1"/>
      <c r="T52" s="1">
        <f>SUM(OSRRefT22_11x_0)</f>
        <v>409.48</v>
      </c>
      <c r="U52" s="1"/>
      <c r="V52" s="5">
        <f t="shared" si="37"/>
        <v>0</v>
      </c>
      <c r="W52" s="1"/>
      <c r="X52" s="1">
        <f t="shared" si="38"/>
        <v>-187.20000000000002</v>
      </c>
      <c r="Y52" s="1"/>
      <c r="Z52" s="5">
        <f t="shared" si="39"/>
        <v>-0.45716518511282606</v>
      </c>
    </row>
    <row r="53" spans="1:26" s="24" customFormat="1" hidden="1" outlineLevel="2" x14ac:dyDescent="0.25">
      <c r="A53" s="29"/>
      <c r="B53" s="11" t="str">
        <f>CONCATENATE("          ", "6235", " - ", "COVID-19 EXPENSES")</f>
        <v xml:space="preserve">          6235 - COVID-19 EXPENSES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106.94</v>
      </c>
      <c r="U53" s="2"/>
      <c r="V53" s="7">
        <f t="shared" si="37"/>
        <v>0</v>
      </c>
      <c r="W53" s="2"/>
      <c r="X53" s="6">
        <f t="shared" si="38"/>
        <v>-106.94</v>
      </c>
      <c r="Y53" s="2"/>
      <c r="Z53" s="7">
        <f t="shared" si="39"/>
        <v>-1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6">
        <v>196.39</v>
      </c>
      <c r="E54" s="2"/>
      <c r="F54" s="7">
        <f t="shared" si="32"/>
        <v>0</v>
      </c>
      <c r="G54" s="2"/>
      <c r="H54" s="6">
        <v>122.54</v>
      </c>
      <c r="I54" s="2"/>
      <c r="J54" s="7">
        <f t="shared" si="33"/>
        <v>0</v>
      </c>
      <c r="K54" s="2"/>
      <c r="L54" s="6">
        <f t="shared" si="34"/>
        <v>73.84999999999998</v>
      </c>
      <c r="M54" s="2"/>
      <c r="N54" s="7">
        <f t="shared" si="35"/>
        <v>0.6026603558021868</v>
      </c>
      <c r="O54" s="11"/>
      <c r="P54" s="6">
        <v>222.28</v>
      </c>
      <c r="Q54" s="2"/>
      <c r="R54" s="7">
        <f t="shared" si="36"/>
        <v>0</v>
      </c>
      <c r="S54" s="2"/>
      <c r="T54" s="6">
        <v>302.54000000000002</v>
      </c>
      <c r="U54" s="2"/>
      <c r="V54" s="7">
        <f t="shared" si="37"/>
        <v>0</v>
      </c>
      <c r="W54" s="2"/>
      <c r="X54" s="6">
        <f t="shared" si="38"/>
        <v>-80.260000000000019</v>
      </c>
      <c r="Y54" s="2"/>
      <c r="Z54" s="7">
        <f t="shared" si="39"/>
        <v>-0.26528723474581878</v>
      </c>
    </row>
    <row r="55" spans="1:26" s="28" customFormat="1" outlineLevel="1" collapsed="1" x14ac:dyDescent="0.25">
      <c r="A55" s="27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SUM(OSRRefD22_12x_0)</f>
        <v>511.68</v>
      </c>
      <c r="E55" s="1"/>
      <c r="F55" s="5">
        <f t="shared" ref="F55:F56" si="40">IF(D$12=0,0,D55/D$12)</f>
        <v>0</v>
      </c>
      <c r="G55" s="1"/>
      <c r="H55" s="1">
        <f>SUM(OSRRefH22_12x_0)</f>
        <v>338.06</v>
      </c>
      <c r="I55" s="1"/>
      <c r="J55" s="5">
        <f t="shared" ref="J55:J56" si="41">IF(H$12=0,0,H55/H$12)</f>
        <v>0</v>
      </c>
      <c r="K55" s="1"/>
      <c r="L55" s="1">
        <f t="shared" ref="L55:L56" si="42">+D55-H55</f>
        <v>173.62</v>
      </c>
      <c r="M55" s="1"/>
      <c r="N55" s="5">
        <f t="shared" ref="N55:N56" si="43">IF(H55=0,0,L55/H55)</f>
        <v>0.51357747145477139</v>
      </c>
      <c r="O55" s="14"/>
      <c r="P55" s="1">
        <f>SUM(OSRRefP22_12x_0)</f>
        <v>1869.87</v>
      </c>
      <c r="Q55" s="1"/>
      <c r="R55" s="5">
        <f t="shared" ref="R55:R56" si="44">IF(P$12=0,0,P55/P$12)</f>
        <v>0</v>
      </c>
      <c r="S55" s="1"/>
      <c r="T55" s="1">
        <f>SUM(OSRRefT22_12x_0)</f>
        <v>1406.12</v>
      </c>
      <c r="U55" s="1"/>
      <c r="V55" s="5">
        <f t="shared" ref="V55:V56" si="45">IF(T$12=0,0,T55/T$12)</f>
        <v>0</v>
      </c>
      <c r="W55" s="1"/>
      <c r="X55" s="1">
        <f t="shared" ref="X55:X56" si="46">+P55-T55</f>
        <v>463.75</v>
      </c>
      <c r="Y55" s="1"/>
      <c r="Z55" s="5">
        <f t="shared" ref="Z55:Z56" si="47">IF(T55=0,0,X55/T55)</f>
        <v>0.32980826671976787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6">
        <v>511.68</v>
      </c>
      <c r="E56" s="2"/>
      <c r="F56" s="7">
        <f t="shared" si="40"/>
        <v>0</v>
      </c>
      <c r="G56" s="2"/>
      <c r="H56" s="6">
        <v>338.06</v>
      </c>
      <c r="I56" s="2"/>
      <c r="J56" s="7">
        <f t="shared" si="41"/>
        <v>0</v>
      </c>
      <c r="K56" s="2"/>
      <c r="L56" s="6">
        <f t="shared" si="42"/>
        <v>173.62</v>
      </c>
      <c r="M56" s="2"/>
      <c r="N56" s="7">
        <f t="shared" si="43"/>
        <v>0.51357747145477139</v>
      </c>
      <c r="O56" s="11"/>
      <c r="P56" s="6">
        <v>1869.87</v>
      </c>
      <c r="Q56" s="2"/>
      <c r="R56" s="7">
        <f t="shared" si="44"/>
        <v>0</v>
      </c>
      <c r="S56" s="2"/>
      <c r="T56" s="6">
        <v>1406.12</v>
      </c>
      <c r="U56" s="2"/>
      <c r="V56" s="7">
        <f t="shared" si="45"/>
        <v>0</v>
      </c>
      <c r="W56" s="2"/>
      <c r="X56" s="6">
        <f t="shared" si="46"/>
        <v>463.75</v>
      </c>
      <c r="Y56" s="2"/>
      <c r="Z56" s="7">
        <f t="shared" si="47"/>
        <v>0.32980826671976787</v>
      </c>
    </row>
    <row r="57" spans="1:26" s="56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292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276</v>
      </c>
      <c r="C60" s="26"/>
      <c r="D60" s="22">
        <f>+D16-D18+D58</f>
        <v>-27845.48</v>
      </c>
      <c r="E60" s="13"/>
      <c r="F60" s="20">
        <f>IF(D$12=0,0,D60/D$12)</f>
        <v>0</v>
      </c>
      <c r="G60" s="13"/>
      <c r="H60" s="22">
        <f>+H16-H18+H58</f>
        <v>-35310.55999999999</v>
      </c>
      <c r="I60" s="13"/>
      <c r="J60" s="20">
        <f>IF(H$12=0,0,H60/H$12)</f>
        <v>0</v>
      </c>
      <c r="K60" s="15"/>
      <c r="L60" s="22">
        <f>+D60-H60</f>
        <v>7465.0799999999908</v>
      </c>
      <c r="M60" s="15"/>
      <c r="N60" s="20">
        <f>IF(H60=0,0,L60/H60)</f>
        <v>-0.21141211014495359</v>
      </c>
      <c r="O60" s="25"/>
      <c r="P60" s="22">
        <f>+P16-P18+P58</f>
        <v>-135984.29999999999</v>
      </c>
      <c r="Q60" s="13"/>
      <c r="R60" s="20">
        <f>IF(P$12=0,0,P60/P$12)</f>
        <v>0</v>
      </c>
      <c r="S60" s="13"/>
      <c r="T60" s="22">
        <f>+T16-T18+T58</f>
        <v>-142566.82</v>
      </c>
      <c r="U60" s="13"/>
      <c r="V60" s="20">
        <f>IF(T$12=0,0,T60/T$12)</f>
        <v>0</v>
      </c>
      <c r="W60" s="15"/>
      <c r="X60" s="22">
        <f>+P60-T60</f>
        <v>6582.5200000000186</v>
      </c>
      <c r="Y60" s="15"/>
      <c r="Z60" s="20">
        <f>IF(T60=0,0,X60/T60)</f>
        <v>-4.6171472436574081E-2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1"/>
      <c r="B62" s="10" t="s">
        <v>127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125</v>
      </c>
      <c r="C64" s="26"/>
      <c r="D64" s="33">
        <f>+D60-D62</f>
        <v>-27845.48</v>
      </c>
      <c r="E64" s="13"/>
      <c r="F64" s="31">
        <f>IF(D$12=0,0,D64/D$12)</f>
        <v>0</v>
      </c>
      <c r="G64" s="13"/>
      <c r="H64" s="33">
        <f>+H60-H62</f>
        <v>-35310.55999999999</v>
      </c>
      <c r="I64" s="13"/>
      <c r="J64" s="31">
        <f>IF(H$12=0,0,H64/H$12)</f>
        <v>0</v>
      </c>
      <c r="K64" s="15"/>
      <c r="L64" s="33">
        <f>D64-H64</f>
        <v>7465.0799999999908</v>
      </c>
      <c r="M64" s="15"/>
      <c r="N64" s="31">
        <f>IF(H64=0,0,L64/H64)</f>
        <v>-0.21141211014495359</v>
      </c>
      <c r="O64" s="25"/>
      <c r="P64" s="33">
        <f>+P60-P62</f>
        <v>-135984.29999999999</v>
      </c>
      <c r="Q64" s="13"/>
      <c r="R64" s="31">
        <f>IF(P$12=0,0,P64/P$12)</f>
        <v>0</v>
      </c>
      <c r="S64" s="13"/>
      <c r="T64" s="33">
        <f>+T60-T62</f>
        <v>-142566.82</v>
      </c>
      <c r="U64" s="13"/>
      <c r="V64" s="31">
        <f>IF(T$12=0,0,T64/T$12)</f>
        <v>0</v>
      </c>
      <c r="W64" s="15"/>
      <c r="X64" s="33">
        <f>P64-T64</f>
        <v>6582.5200000000186</v>
      </c>
      <c r="Y64" s="15"/>
      <c r="Z64" s="31">
        <f>IF(T64=0,0,X64/T64)</f>
        <v>-4.6171472436574081E-2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293</v>
      </c>
      <c r="C67" s="26"/>
      <c r="D67" s="34">
        <f>SUM(D64:D66)</f>
        <v>-27845.48</v>
      </c>
      <c r="E67" s="13"/>
      <c r="F67" s="30">
        <f>IF(D$12=0,0,D67/D$12)</f>
        <v>0</v>
      </c>
      <c r="G67" s="13"/>
      <c r="H67" s="34">
        <f>SUM(H64:H66)</f>
        <v>-35310.55999999999</v>
      </c>
      <c r="I67" s="13"/>
      <c r="J67" s="30">
        <f>IF(H$12=0,0,H67/H$12)</f>
        <v>0</v>
      </c>
      <c r="K67" s="15"/>
      <c r="L67" s="34">
        <f>+D67-H67</f>
        <v>7465.0799999999908</v>
      </c>
      <c r="M67" s="15"/>
      <c r="N67" s="30">
        <f>IF(H67=0,0,L67/H67)</f>
        <v>-0.21141211014495359</v>
      </c>
      <c r="O67" s="25"/>
      <c r="P67" s="34">
        <f>SUM(P64:P66)</f>
        <v>-135984.29999999999</v>
      </c>
      <c r="Q67" s="13"/>
      <c r="R67" s="30">
        <f>IF(P$12=0,0,P67/P$12)</f>
        <v>0</v>
      </c>
      <c r="S67" s="13"/>
      <c r="T67" s="34">
        <f>SUM(T64:T66)</f>
        <v>-142566.82</v>
      </c>
      <c r="U67" s="13"/>
      <c r="V67" s="30">
        <f>IF(T$12=0,0,T67/T$12)</f>
        <v>0</v>
      </c>
      <c r="W67" s="15"/>
      <c r="X67" s="34">
        <f>+P67-T67</f>
        <v>6582.5200000000186</v>
      </c>
      <c r="Y67" s="15"/>
      <c r="Z67" s="30">
        <f>IF(T67=0,0,X67/T67)</f>
        <v>-4.6171472436574081E-2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61">
        <v>44517.967041516204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7" t="s">
        <v>56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8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46230.25</v>
      </c>
      <c r="E18" s="21"/>
      <c r="F18" s="36">
        <f t="shared" ref="F18:F27" si="0">IF(D$12=0,0,D18/D$12)</f>
        <v>0</v>
      </c>
      <c r="G18" s="21"/>
      <c r="H18" s="21">
        <f>SUM(OSRRefH22x_0)</f>
        <v>46110.25</v>
      </c>
      <c r="I18" s="21"/>
      <c r="J18" s="36">
        <f t="shared" ref="J18:J27" si="1">IF(H$12=0,0,H18/H$12)</f>
        <v>0</v>
      </c>
      <c r="K18" s="4"/>
      <c r="L18" s="21">
        <f t="shared" ref="L18:L27" si="2">+D18-H18</f>
        <v>120</v>
      </c>
      <c r="M18" s="4"/>
      <c r="N18" s="36">
        <f t="shared" ref="N18:N27" si="3">IF(H18=0,0,L18/H18)</f>
        <v>2.6024582386779513E-3</v>
      </c>
      <c r="O18" s="10"/>
      <c r="P18" s="21">
        <f>SUM(OSRRefP22x_0)</f>
        <v>166089.64999999997</v>
      </c>
      <c r="Q18" s="21"/>
      <c r="R18" s="36">
        <f t="shared" ref="R18:R27" si="4">IF(P$12=0,0,P18/P$12)</f>
        <v>0</v>
      </c>
      <c r="S18" s="21"/>
      <c r="T18" s="21">
        <f>SUM(OSRRefT22x_0)</f>
        <v>156156.54000000004</v>
      </c>
      <c r="U18" s="21"/>
      <c r="V18" s="36">
        <f t="shared" ref="V18:V27" si="5">IF(T$12=0,0,T18/T$12)</f>
        <v>0</v>
      </c>
      <c r="W18" s="4"/>
      <c r="X18" s="21">
        <f t="shared" ref="X18:X27" si="6">+P18-T18</f>
        <v>9933.1099999999278</v>
      </c>
      <c r="Y18" s="4"/>
      <c r="Z18" s="36">
        <f t="shared" ref="Z18:Z27" si="7">IF(T18=0,0,X18/T18)</f>
        <v>6.3609951911075421E-2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16036.889999999998</v>
      </c>
      <c r="E19" s="1"/>
      <c r="F19" s="5">
        <f t="shared" si="0"/>
        <v>0</v>
      </c>
      <c r="G19" s="1"/>
      <c r="H19" s="1">
        <f>SUM(OSRRefH22_0x_0)</f>
        <v>16043.710000000001</v>
      </c>
      <c r="I19" s="1"/>
      <c r="J19" s="5">
        <f t="shared" si="1"/>
        <v>0</v>
      </c>
      <c r="K19" s="1"/>
      <c r="L19" s="1">
        <f t="shared" si="2"/>
        <v>-6.8200000000033469</v>
      </c>
      <c r="M19" s="1"/>
      <c r="N19" s="5">
        <f t="shared" si="3"/>
        <v>-4.2508871077845129E-4</v>
      </c>
      <c r="O19" s="14"/>
      <c r="P19" s="1">
        <f>SUM(OSRRefP22_0x_0)</f>
        <v>54546.44</v>
      </c>
      <c r="Q19" s="1"/>
      <c r="R19" s="5">
        <f t="shared" si="4"/>
        <v>0</v>
      </c>
      <c r="S19" s="1"/>
      <c r="T19" s="1">
        <f>SUM(OSRRefT22_0x_0)</f>
        <v>53540.729999999996</v>
      </c>
      <c r="U19" s="1"/>
      <c r="V19" s="5">
        <f t="shared" si="5"/>
        <v>0</v>
      </c>
      <c r="W19" s="1"/>
      <c r="X19" s="1">
        <f t="shared" si="6"/>
        <v>1005.7100000000064</v>
      </c>
      <c r="Y19" s="1"/>
      <c r="Z19" s="5">
        <f t="shared" si="7"/>
        <v>1.8784017326622302E-2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2448.0700000000002</v>
      </c>
      <c r="E20" s="2"/>
      <c r="F20" s="7">
        <f t="shared" si="0"/>
        <v>0</v>
      </c>
      <c r="G20" s="2"/>
      <c r="H20" s="6">
        <v>3655.26</v>
      </c>
      <c r="I20" s="2"/>
      <c r="J20" s="7">
        <f t="shared" si="1"/>
        <v>0</v>
      </c>
      <c r="K20" s="2"/>
      <c r="L20" s="6">
        <f t="shared" si="2"/>
        <v>-1207.19</v>
      </c>
      <c r="M20" s="2"/>
      <c r="N20" s="7">
        <f t="shared" si="3"/>
        <v>-0.33026104846166893</v>
      </c>
      <c r="O20" s="11"/>
      <c r="P20" s="6">
        <v>7332.75</v>
      </c>
      <c r="Q20" s="2"/>
      <c r="R20" s="7">
        <f t="shared" si="4"/>
        <v>0</v>
      </c>
      <c r="S20" s="2"/>
      <c r="T20" s="6">
        <v>8538.33</v>
      </c>
      <c r="U20" s="2"/>
      <c r="V20" s="7">
        <f t="shared" si="5"/>
        <v>0</v>
      </c>
      <c r="W20" s="2"/>
      <c r="X20" s="6">
        <f t="shared" si="6"/>
        <v>-1205.58</v>
      </c>
      <c r="Y20" s="2"/>
      <c r="Z20" s="7">
        <f t="shared" si="7"/>
        <v>-0.14119622923920719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427.44</v>
      </c>
      <c r="E21" s="2"/>
      <c r="F21" s="7">
        <f t="shared" si="0"/>
        <v>0</v>
      </c>
      <c r="G21" s="2"/>
      <c r="H21" s="6">
        <v>70.040000000000006</v>
      </c>
      <c r="I21" s="2"/>
      <c r="J21" s="7">
        <f t="shared" si="1"/>
        <v>0</v>
      </c>
      <c r="K21" s="2"/>
      <c r="L21" s="6">
        <f t="shared" si="2"/>
        <v>357.4</v>
      </c>
      <c r="M21" s="2"/>
      <c r="N21" s="7">
        <f t="shared" si="3"/>
        <v>5.1027984009137626</v>
      </c>
      <c r="O21" s="11"/>
      <c r="P21" s="6">
        <v>1262.69</v>
      </c>
      <c r="Q21" s="2"/>
      <c r="R21" s="7">
        <f t="shared" si="4"/>
        <v>0</v>
      </c>
      <c r="S21" s="2"/>
      <c r="T21" s="6">
        <v>280.10000000000002</v>
      </c>
      <c r="U21" s="2"/>
      <c r="V21" s="7">
        <f t="shared" si="5"/>
        <v>0</v>
      </c>
      <c r="W21" s="2"/>
      <c r="X21" s="6">
        <f t="shared" si="6"/>
        <v>982.59</v>
      </c>
      <c r="Y21" s="2"/>
      <c r="Z21" s="7">
        <f t="shared" si="7"/>
        <v>3.5079971438771866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6221.66</v>
      </c>
      <c r="E22" s="2"/>
      <c r="F22" s="7">
        <f t="shared" si="0"/>
        <v>0</v>
      </c>
      <c r="G22" s="2"/>
      <c r="H22" s="6">
        <v>6246.72</v>
      </c>
      <c r="I22" s="2"/>
      <c r="J22" s="7">
        <f t="shared" si="1"/>
        <v>0</v>
      </c>
      <c r="K22" s="2"/>
      <c r="L22" s="6">
        <f t="shared" si="2"/>
        <v>-25.0600000000004</v>
      </c>
      <c r="M22" s="2"/>
      <c r="N22" s="7">
        <f t="shared" si="3"/>
        <v>-4.0117053429640512E-3</v>
      </c>
      <c r="O22" s="11"/>
      <c r="P22" s="6">
        <v>24931.64</v>
      </c>
      <c r="Q22" s="2"/>
      <c r="R22" s="7">
        <f t="shared" si="4"/>
        <v>0</v>
      </c>
      <c r="S22" s="2"/>
      <c r="T22" s="6">
        <v>22947.84</v>
      </c>
      <c r="U22" s="2"/>
      <c r="V22" s="7">
        <f t="shared" si="5"/>
        <v>0</v>
      </c>
      <c r="W22" s="2"/>
      <c r="X22" s="6">
        <f t="shared" si="6"/>
        <v>1983.7999999999993</v>
      </c>
      <c r="Y22" s="2"/>
      <c r="Z22" s="7">
        <f t="shared" si="7"/>
        <v>8.6448223449352934E-2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86.15</v>
      </c>
      <c r="E23" s="2"/>
      <c r="F23" s="7">
        <f t="shared" si="0"/>
        <v>0</v>
      </c>
      <c r="G23" s="2"/>
      <c r="H23" s="6">
        <v>55.18</v>
      </c>
      <c r="I23" s="2"/>
      <c r="J23" s="7">
        <f t="shared" si="1"/>
        <v>0</v>
      </c>
      <c r="K23" s="2"/>
      <c r="L23" s="6">
        <f t="shared" si="2"/>
        <v>30.970000000000006</v>
      </c>
      <c r="M23" s="2"/>
      <c r="N23" s="7">
        <f t="shared" si="3"/>
        <v>0.56125407756433499</v>
      </c>
      <c r="O23" s="11"/>
      <c r="P23" s="6">
        <v>254.5</v>
      </c>
      <c r="Q23" s="2"/>
      <c r="R23" s="7">
        <f t="shared" si="4"/>
        <v>0</v>
      </c>
      <c r="S23" s="2"/>
      <c r="T23" s="6">
        <v>220.67</v>
      </c>
      <c r="U23" s="2"/>
      <c r="V23" s="7">
        <f t="shared" si="5"/>
        <v>0</v>
      </c>
      <c r="W23" s="2"/>
      <c r="X23" s="6">
        <f t="shared" si="6"/>
        <v>33.830000000000013</v>
      </c>
      <c r="Y23" s="2"/>
      <c r="Z23" s="7">
        <f t="shared" si="7"/>
        <v>0.15330584130149097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2921.87</v>
      </c>
      <c r="E24" s="2"/>
      <c r="F24" s="7">
        <f t="shared" si="0"/>
        <v>0</v>
      </c>
      <c r="G24" s="2"/>
      <c r="H24" s="6">
        <v>1978.76</v>
      </c>
      <c r="I24" s="2"/>
      <c r="J24" s="7">
        <f t="shared" si="1"/>
        <v>0</v>
      </c>
      <c r="K24" s="2"/>
      <c r="L24" s="6">
        <f t="shared" si="2"/>
        <v>943.1099999999999</v>
      </c>
      <c r="M24" s="2"/>
      <c r="N24" s="7">
        <f t="shared" si="3"/>
        <v>0.47661666902504596</v>
      </c>
      <c r="O24" s="11"/>
      <c r="P24" s="6">
        <v>8765.6</v>
      </c>
      <c r="Q24" s="2"/>
      <c r="R24" s="7">
        <f t="shared" si="4"/>
        <v>0</v>
      </c>
      <c r="S24" s="2"/>
      <c r="T24" s="6">
        <v>8904.43</v>
      </c>
      <c r="U24" s="2"/>
      <c r="V24" s="7">
        <f t="shared" si="5"/>
        <v>0</v>
      </c>
      <c r="W24" s="2"/>
      <c r="X24" s="6">
        <f t="shared" si="6"/>
        <v>-138.82999999999993</v>
      </c>
      <c r="Y24" s="2"/>
      <c r="Z24" s="7">
        <f t="shared" si="7"/>
        <v>-1.5591115882768456E-2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6">
        <v>1746.51</v>
      </c>
      <c r="E25" s="2"/>
      <c r="F25" s="7">
        <f t="shared" si="0"/>
        <v>0</v>
      </c>
      <c r="G25" s="2"/>
      <c r="H25" s="6">
        <v>2300.4699999999998</v>
      </c>
      <c r="I25" s="2"/>
      <c r="J25" s="7">
        <f t="shared" si="1"/>
        <v>0</v>
      </c>
      <c r="K25" s="2"/>
      <c r="L25" s="6">
        <f t="shared" si="2"/>
        <v>-553.95999999999981</v>
      </c>
      <c r="M25" s="2"/>
      <c r="N25" s="7">
        <f t="shared" si="3"/>
        <v>-0.24080296635035442</v>
      </c>
      <c r="O25" s="11"/>
      <c r="P25" s="6">
        <v>5506.58</v>
      </c>
      <c r="Q25" s="2"/>
      <c r="R25" s="7">
        <f t="shared" si="4"/>
        <v>0</v>
      </c>
      <c r="S25" s="2"/>
      <c r="T25" s="6">
        <v>6978.79</v>
      </c>
      <c r="U25" s="2"/>
      <c r="V25" s="7">
        <f t="shared" si="5"/>
        <v>0</v>
      </c>
      <c r="W25" s="2"/>
      <c r="X25" s="6">
        <f t="shared" si="6"/>
        <v>-1472.21</v>
      </c>
      <c r="Y25" s="2"/>
      <c r="Z25" s="7">
        <f t="shared" si="7"/>
        <v>-0.21095490765591171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6">
        <v>1469.13</v>
      </c>
      <c r="E26" s="2"/>
      <c r="F26" s="7">
        <f t="shared" si="0"/>
        <v>0</v>
      </c>
      <c r="G26" s="2"/>
      <c r="H26" s="6">
        <v>1469.13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4407.3900000000003</v>
      </c>
      <c r="Q26" s="2"/>
      <c r="R26" s="7">
        <f t="shared" si="4"/>
        <v>0</v>
      </c>
      <c r="S26" s="2"/>
      <c r="T26" s="6">
        <v>4407.3900000000003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6">
        <v>716.06</v>
      </c>
      <c r="E27" s="2"/>
      <c r="F27" s="7">
        <f t="shared" si="0"/>
        <v>0</v>
      </c>
      <c r="G27" s="2"/>
      <c r="H27" s="6">
        <v>268.14999999999998</v>
      </c>
      <c r="I27" s="2"/>
      <c r="J27" s="7">
        <f t="shared" si="1"/>
        <v>0</v>
      </c>
      <c r="K27" s="2"/>
      <c r="L27" s="6">
        <f t="shared" si="2"/>
        <v>447.90999999999997</v>
      </c>
      <c r="M27" s="2"/>
      <c r="N27" s="7">
        <f t="shared" si="3"/>
        <v>1.6703710609733358</v>
      </c>
      <c r="O27" s="11"/>
      <c r="P27" s="6">
        <v>2085.29</v>
      </c>
      <c r="Q27" s="2"/>
      <c r="R27" s="7">
        <f t="shared" si="4"/>
        <v>0</v>
      </c>
      <c r="S27" s="2"/>
      <c r="T27" s="6">
        <v>1263.18</v>
      </c>
      <c r="U27" s="2"/>
      <c r="V27" s="7">
        <f t="shared" si="5"/>
        <v>0</v>
      </c>
      <c r="W27" s="2"/>
      <c r="X27" s="6">
        <f t="shared" si="6"/>
        <v>822.1099999999999</v>
      </c>
      <c r="Y27" s="2"/>
      <c r="Z27" s="7">
        <f t="shared" si="7"/>
        <v>0.65082569388369027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26688.199999999997</v>
      </c>
      <c r="E28" s="1"/>
      <c r="F28" s="5">
        <f t="shared" ref="F28:F31" si="8">IF(D$12=0,0,D28/D$12)</f>
        <v>0</v>
      </c>
      <c r="G28" s="1"/>
      <c r="H28" s="1">
        <f>SUM(OSRRefH22_1x_0)</f>
        <v>26165.710000000003</v>
      </c>
      <c r="I28" s="1"/>
      <c r="J28" s="5">
        <f t="shared" ref="J28:J31" si="9">IF(H$12=0,0,H28/H$12)</f>
        <v>0</v>
      </c>
      <c r="K28" s="1"/>
      <c r="L28" s="1">
        <f t="shared" ref="L28:L31" si="10">+D28-H28</f>
        <v>522.48999999999432</v>
      </c>
      <c r="M28" s="1"/>
      <c r="N28" s="5">
        <f t="shared" ref="N28:N31" si="11">IF(H28=0,0,L28/H28)</f>
        <v>1.9968500759199512E-2</v>
      </c>
      <c r="O28" s="14"/>
      <c r="P28" s="1">
        <f>SUM(OSRRefP22_1x_0)</f>
        <v>95214.94</v>
      </c>
      <c r="Q28" s="1"/>
      <c r="R28" s="5">
        <f t="shared" ref="R28:R31" si="12">IF(P$12=0,0,P28/P$12)</f>
        <v>0</v>
      </c>
      <c r="S28" s="1"/>
      <c r="T28" s="1">
        <f>SUM(OSRRefT22_1x_0)</f>
        <v>89472.79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5742.1500000000087</v>
      </c>
      <c r="Y28" s="1"/>
      <c r="Z28" s="5">
        <f t="shared" ref="Z28:Z31" si="15">IF(T28=0,0,X28/T28)</f>
        <v>6.4177611986839897E-2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6">
        <v>25747.279999999999</v>
      </c>
      <c r="E29" s="2"/>
      <c r="F29" s="7">
        <f t="shared" si="8"/>
        <v>0</v>
      </c>
      <c r="G29" s="2"/>
      <c r="H29" s="6">
        <v>26031.72</v>
      </c>
      <c r="I29" s="2"/>
      <c r="J29" s="7">
        <f t="shared" si="9"/>
        <v>0</v>
      </c>
      <c r="K29" s="2"/>
      <c r="L29" s="6">
        <f t="shared" si="10"/>
        <v>-284.44000000000233</v>
      </c>
      <c r="M29" s="2"/>
      <c r="N29" s="7">
        <f t="shared" si="11"/>
        <v>-1.0926669463254919E-2</v>
      </c>
      <c r="O29" s="11"/>
      <c r="P29" s="6">
        <v>93184.06</v>
      </c>
      <c r="Q29" s="2"/>
      <c r="R29" s="7">
        <f t="shared" si="12"/>
        <v>0</v>
      </c>
      <c r="S29" s="2"/>
      <c r="T29" s="6">
        <v>89091.03</v>
      </c>
      <c r="U29" s="2"/>
      <c r="V29" s="7">
        <f t="shared" si="13"/>
        <v>0</v>
      </c>
      <c r="W29" s="2"/>
      <c r="X29" s="6">
        <f t="shared" si="14"/>
        <v>4093.0299999999988</v>
      </c>
      <c r="Y29" s="2"/>
      <c r="Z29" s="7">
        <f t="shared" si="15"/>
        <v>4.5942111119379792E-2</v>
      </c>
    </row>
    <row r="30" spans="1:26" s="24" customFormat="1" hidden="1" outlineLevel="2" x14ac:dyDescent="0.25">
      <c r="A30" s="29"/>
      <c r="B30" s="11" t="str">
        <f>CONCATENATE("          ", "6005", " - ", "TEMPORARY WAGES-HOURLY")</f>
        <v xml:space="preserve">          6005 - TEMPORARY WAGES-HOURLY</v>
      </c>
      <c r="C30" s="11"/>
      <c r="D30" s="6"/>
      <c r="E30" s="2"/>
      <c r="F30" s="7">
        <f t="shared" si="8"/>
        <v>0</v>
      </c>
      <c r="G30" s="2"/>
      <c r="H30" s="6">
        <v>175.99</v>
      </c>
      <c r="I30" s="2"/>
      <c r="J30" s="7">
        <f t="shared" si="9"/>
        <v>0</v>
      </c>
      <c r="K30" s="2"/>
      <c r="L30" s="6">
        <f t="shared" si="10"/>
        <v>-175.99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265.48</v>
      </c>
      <c r="U30" s="2"/>
      <c r="V30" s="7">
        <f t="shared" si="13"/>
        <v>0</v>
      </c>
      <c r="W30" s="2"/>
      <c r="X30" s="6">
        <f t="shared" si="14"/>
        <v>-265.48</v>
      </c>
      <c r="Y30" s="2"/>
      <c r="Z30" s="7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6">
        <v>940.92</v>
      </c>
      <c r="E31" s="2"/>
      <c r="F31" s="7">
        <f t="shared" si="8"/>
        <v>0</v>
      </c>
      <c r="G31" s="2"/>
      <c r="H31" s="6">
        <v>-42</v>
      </c>
      <c r="I31" s="2"/>
      <c r="J31" s="7">
        <f t="shared" si="9"/>
        <v>0</v>
      </c>
      <c r="K31" s="2"/>
      <c r="L31" s="6">
        <f t="shared" si="10"/>
        <v>982.92</v>
      </c>
      <c r="M31" s="2"/>
      <c r="N31" s="7">
        <f t="shared" si="11"/>
        <v>-23.40285714285714</v>
      </c>
      <c r="O31" s="11"/>
      <c r="P31" s="6">
        <v>2030.88</v>
      </c>
      <c r="Q31" s="2"/>
      <c r="R31" s="7">
        <f t="shared" si="12"/>
        <v>0</v>
      </c>
      <c r="S31" s="2"/>
      <c r="T31" s="6">
        <v>116.28</v>
      </c>
      <c r="U31" s="2"/>
      <c r="V31" s="7">
        <f t="shared" si="13"/>
        <v>0</v>
      </c>
      <c r="W31" s="2"/>
      <c r="X31" s="6">
        <f t="shared" si="14"/>
        <v>1914.6000000000001</v>
      </c>
      <c r="Y31" s="2"/>
      <c r="Z31" s="7">
        <f t="shared" si="15"/>
        <v>16.465428276573789</v>
      </c>
    </row>
    <row r="32" spans="1:26" s="28" customFormat="1" outlineLevel="1" collapsed="1" x14ac:dyDescent="0.25">
      <c r="A32" s="27"/>
      <c r="B32" s="14" t="str">
        <f>CONCATENATE("     ","Depreciation                                      ")</f>
        <v xml:space="preserve">     Depreciation                                      </v>
      </c>
      <c r="C32" s="14"/>
      <c r="D32" s="1">
        <f>SUM(OSRRefD22_2x_0)</f>
        <v>1558.88</v>
      </c>
      <c r="E32" s="1"/>
      <c r="F32" s="5">
        <f t="shared" ref="F32:F38" si="16">IF(D$12=0,0,D32/D$12)</f>
        <v>0</v>
      </c>
      <c r="G32" s="1"/>
      <c r="H32" s="1">
        <f>SUM(OSRRefH22_2x_0)</f>
        <v>1558.88</v>
      </c>
      <c r="I32" s="1"/>
      <c r="J32" s="5">
        <f t="shared" ref="J32:J38" si="17">IF(H$12=0,0,H32/H$12)</f>
        <v>0</v>
      </c>
      <c r="K32" s="1"/>
      <c r="L32" s="1">
        <f t="shared" ref="L32:L38" si="18">+D32-H32</f>
        <v>0</v>
      </c>
      <c r="M32" s="1"/>
      <c r="N32" s="5">
        <f t="shared" ref="N32:N38" si="19">IF(H32=0,0,L32/H32)</f>
        <v>0</v>
      </c>
      <c r="O32" s="14"/>
      <c r="P32" s="1">
        <f>SUM(OSRRefP22_2x_0)</f>
        <v>6235.52</v>
      </c>
      <c r="Q32" s="1"/>
      <c r="R32" s="5">
        <f t="shared" ref="R32:R38" si="20">IF(P$12=0,0,P32/P$12)</f>
        <v>0</v>
      </c>
      <c r="S32" s="1"/>
      <c r="T32" s="1">
        <f>SUM(OSRRefT22_2x_0)</f>
        <v>6235.52</v>
      </c>
      <c r="U32" s="1"/>
      <c r="V32" s="5">
        <f t="shared" ref="V32:V38" si="21">IF(T$12=0,0,T32/T$12)</f>
        <v>0</v>
      </c>
      <c r="W32" s="1"/>
      <c r="X32" s="1">
        <f t="shared" ref="X32:X38" si="22">+P32-T32</f>
        <v>0</v>
      </c>
      <c r="Y32" s="1"/>
      <c r="Z32" s="5">
        <f t="shared" ref="Z32:Z38" si="23">IF(T32=0,0,X32/T32)</f>
        <v>0</v>
      </c>
    </row>
    <row r="33" spans="1:26" s="24" customFormat="1" hidden="1" outlineLevel="2" x14ac:dyDescent="0.25">
      <c r="A33" s="29"/>
      <c r="B33" s="11" t="str">
        <f>CONCATENATE("          ", "6322", " - ", "EQUIPMENT DEPRECIATION EXPENSE")</f>
        <v xml:space="preserve">          6322 - EQUIPMENT DEPRECIATION EXPENSE</v>
      </c>
      <c r="C33" s="11"/>
      <c r="D33" s="6">
        <v>1558.88</v>
      </c>
      <c r="E33" s="2"/>
      <c r="F33" s="7">
        <f t="shared" si="16"/>
        <v>0</v>
      </c>
      <c r="G33" s="2"/>
      <c r="H33" s="6">
        <v>1558.88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6235.52</v>
      </c>
      <c r="Q33" s="2"/>
      <c r="R33" s="7">
        <f t="shared" si="20"/>
        <v>0</v>
      </c>
      <c r="S33" s="2"/>
      <c r="T33" s="6">
        <v>6235.52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8" customFormat="1" outlineLevel="1" collapsed="1" x14ac:dyDescent="0.25">
      <c r="A34" s="27"/>
      <c r="B34" s="14" t="str">
        <f>CONCATENATE("     ","Equipment Rental                                  ")</f>
        <v xml:space="preserve">     Equipment Rental                                  </v>
      </c>
      <c r="C34" s="14"/>
      <c r="D34" s="1">
        <f>SUM(OSRRefD22_3x_0)</f>
        <v>91.26</v>
      </c>
      <c r="E34" s="1"/>
      <c r="F34" s="5">
        <f t="shared" si="16"/>
        <v>0</v>
      </c>
      <c r="G34" s="1"/>
      <c r="H34" s="1">
        <f>SUM(OSRRefH22_3x_0)</f>
        <v>91.26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365.04</v>
      </c>
      <c r="Q34" s="1"/>
      <c r="R34" s="5">
        <f t="shared" si="20"/>
        <v>0</v>
      </c>
      <c r="S34" s="1"/>
      <c r="T34" s="1">
        <f>SUM(OSRRefT22_3x_0)</f>
        <v>365.04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25">
      <c r="A35" s="29"/>
      <c r="B35" s="11" t="str">
        <f>CONCATENATE("          ", "6351", " - ", "EQUIPMENT RENTAL")</f>
        <v xml:space="preserve">          6351 - EQUIPMENT RENTAL</v>
      </c>
      <c r="C35" s="11"/>
      <c r="D35" s="6">
        <v>91.26</v>
      </c>
      <c r="E35" s="2"/>
      <c r="F35" s="7">
        <f t="shared" si="16"/>
        <v>0</v>
      </c>
      <c r="G35" s="2"/>
      <c r="H35" s="6">
        <v>91.26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>
        <v>365.04</v>
      </c>
      <c r="Q35" s="2"/>
      <c r="R35" s="7">
        <f t="shared" si="20"/>
        <v>0</v>
      </c>
      <c r="S35" s="2"/>
      <c r="T35" s="6">
        <v>365.04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8" customFormat="1" outlineLevel="1" collapsed="1" x14ac:dyDescent="0.25">
      <c r="A36" s="27"/>
      <c r="B36" s="14" t="str">
        <f>CONCATENATE("     ","Freight out/Postage                               ")</f>
        <v xml:space="preserve">     Freight out/Postage                               </v>
      </c>
      <c r="C36" s="14"/>
      <c r="D36" s="1">
        <f>SUM(OSRRefD22_4x_0)</f>
        <v>172.98</v>
      </c>
      <c r="E36" s="1"/>
      <c r="F36" s="5">
        <f t="shared" si="16"/>
        <v>0</v>
      </c>
      <c r="G36" s="1"/>
      <c r="H36" s="1">
        <f>SUM(OSRRefH22_4x_0)</f>
        <v>137.5</v>
      </c>
      <c r="I36" s="1"/>
      <c r="J36" s="5">
        <f t="shared" si="17"/>
        <v>0</v>
      </c>
      <c r="K36" s="1"/>
      <c r="L36" s="1">
        <f t="shared" si="18"/>
        <v>35.47999999999999</v>
      </c>
      <c r="M36" s="1"/>
      <c r="N36" s="5">
        <f t="shared" si="19"/>
        <v>0.25803636363636356</v>
      </c>
      <c r="O36" s="14"/>
      <c r="P36" s="1">
        <f>SUM(OSRRefP22_4x_0)</f>
        <v>539.33000000000004</v>
      </c>
      <c r="Q36" s="1"/>
      <c r="R36" s="5">
        <f t="shared" si="20"/>
        <v>0</v>
      </c>
      <c r="S36" s="1"/>
      <c r="T36" s="1">
        <f>SUM(OSRRefT22_4x_0)</f>
        <v>459.86</v>
      </c>
      <c r="U36" s="1"/>
      <c r="V36" s="5">
        <f t="shared" si="21"/>
        <v>0</v>
      </c>
      <c r="W36" s="1"/>
      <c r="X36" s="1">
        <f t="shared" si="22"/>
        <v>79.470000000000027</v>
      </c>
      <c r="Y36" s="1"/>
      <c r="Z36" s="5">
        <f t="shared" si="23"/>
        <v>0.17281346496759889</v>
      </c>
    </row>
    <row r="37" spans="1:26" s="24" customFormat="1" hidden="1" outlineLevel="2" x14ac:dyDescent="0.25">
      <c r="A37" s="29"/>
      <c r="B37" s="11" t="str">
        <f>CONCATENATE("          ", "6305", " - ", "FREIGHT OUT")</f>
        <v xml:space="preserve">          6305 - FREIGHT OUT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5.41</v>
      </c>
      <c r="U37" s="2"/>
      <c r="V37" s="7">
        <f t="shared" si="21"/>
        <v>0</v>
      </c>
      <c r="W37" s="2"/>
      <c r="X37" s="6">
        <f t="shared" si="22"/>
        <v>-5.41</v>
      </c>
      <c r="Y37" s="2"/>
      <c r="Z37" s="7">
        <f t="shared" si="23"/>
        <v>-1</v>
      </c>
    </row>
    <row r="38" spans="1:26" s="24" customFormat="1" hidden="1" outlineLevel="2" x14ac:dyDescent="0.25">
      <c r="A38" s="29"/>
      <c r="B38" s="11" t="str">
        <f>CONCATENATE("          ", "6307", " - ", "POSTAGE")</f>
        <v xml:space="preserve">          6307 - POSTAGE</v>
      </c>
      <c r="C38" s="11"/>
      <c r="D38" s="6">
        <v>172.98</v>
      </c>
      <c r="E38" s="2"/>
      <c r="F38" s="7">
        <f t="shared" si="16"/>
        <v>0</v>
      </c>
      <c r="G38" s="2"/>
      <c r="H38" s="6">
        <v>137.5</v>
      </c>
      <c r="I38" s="2"/>
      <c r="J38" s="7">
        <f t="shared" si="17"/>
        <v>0</v>
      </c>
      <c r="K38" s="2"/>
      <c r="L38" s="6">
        <f t="shared" si="18"/>
        <v>35.47999999999999</v>
      </c>
      <c r="M38" s="2"/>
      <c r="N38" s="7">
        <f t="shared" si="19"/>
        <v>0.25803636363636356</v>
      </c>
      <c r="O38" s="11"/>
      <c r="P38" s="6">
        <v>539.33000000000004</v>
      </c>
      <c r="Q38" s="2"/>
      <c r="R38" s="7">
        <f t="shared" si="20"/>
        <v>0</v>
      </c>
      <c r="S38" s="2"/>
      <c r="T38" s="6">
        <v>454.45</v>
      </c>
      <c r="U38" s="2"/>
      <c r="V38" s="7">
        <f t="shared" si="21"/>
        <v>0</v>
      </c>
      <c r="W38" s="2"/>
      <c r="X38" s="6">
        <f t="shared" si="22"/>
        <v>84.880000000000052</v>
      </c>
      <c r="Y38" s="2"/>
      <c r="Z38" s="7">
        <f t="shared" si="23"/>
        <v>0.18677522279678743</v>
      </c>
    </row>
    <row r="39" spans="1:26" s="28" customFormat="1" outlineLevel="1" collapsed="1" x14ac:dyDescent="0.25">
      <c r="A39" s="27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179.64</v>
      </c>
      <c r="E39" s="1"/>
      <c r="F39" s="5">
        <f t="shared" ref="F39:F44" si="24">IF(D$12=0,0,D39/D$12)</f>
        <v>0</v>
      </c>
      <c r="G39" s="1"/>
      <c r="H39" s="1">
        <f>SUM(OSRRefH22_5x_0)</f>
        <v>132.16999999999999</v>
      </c>
      <c r="I39" s="1"/>
      <c r="J39" s="5">
        <f t="shared" ref="J39:J44" si="25">IF(H$12=0,0,H39/H$12)</f>
        <v>0</v>
      </c>
      <c r="K39" s="1"/>
      <c r="L39" s="1">
        <f t="shared" ref="L39:L44" si="26">+D39-H39</f>
        <v>47.47</v>
      </c>
      <c r="M39" s="1"/>
      <c r="N39" s="5">
        <f t="shared" ref="N39:N44" si="27">IF(H39=0,0,L39/H39)</f>
        <v>0.35915865930241359</v>
      </c>
      <c r="O39" s="14"/>
      <c r="P39" s="1">
        <f>SUM(OSRRefP22_5x_0)</f>
        <v>718.56</v>
      </c>
      <c r="Q39" s="1"/>
      <c r="R39" s="5">
        <f t="shared" ref="R39:R44" si="28">IF(P$12=0,0,P39/P$12)</f>
        <v>0</v>
      </c>
      <c r="S39" s="1"/>
      <c r="T39" s="1">
        <f>SUM(OSRRefT22_5x_0)</f>
        <v>528.67999999999995</v>
      </c>
      <c r="U39" s="1"/>
      <c r="V39" s="5">
        <f t="shared" ref="V39:V44" si="29">IF(T$12=0,0,T39/T$12)</f>
        <v>0</v>
      </c>
      <c r="W39" s="1"/>
      <c r="X39" s="1">
        <f t="shared" ref="X39:X44" si="30">+P39-T39</f>
        <v>189.88</v>
      </c>
      <c r="Y39" s="1"/>
      <c r="Z39" s="5">
        <f t="shared" ref="Z39:Z44" si="31">IF(T39=0,0,X39/T39)</f>
        <v>0.35915865930241359</v>
      </c>
    </row>
    <row r="40" spans="1:26" s="24" customFormat="1" hidden="1" outlineLevel="2" x14ac:dyDescent="0.25">
      <c r="A40" s="29"/>
      <c r="B40" s="11" t="str">
        <f>CONCATENATE("          ", "6314", " - ", "LIABILITY INSURANCE")</f>
        <v xml:space="preserve">          6314 - LIABILITY INSURANCE</v>
      </c>
      <c r="C40" s="11"/>
      <c r="D40" s="6">
        <v>179.64</v>
      </c>
      <c r="E40" s="2"/>
      <c r="F40" s="7">
        <f t="shared" si="24"/>
        <v>0</v>
      </c>
      <c r="G40" s="2"/>
      <c r="H40" s="6">
        <v>132.16999999999999</v>
      </c>
      <c r="I40" s="2"/>
      <c r="J40" s="7">
        <f t="shared" si="25"/>
        <v>0</v>
      </c>
      <c r="K40" s="2"/>
      <c r="L40" s="6">
        <f t="shared" si="26"/>
        <v>47.47</v>
      </c>
      <c r="M40" s="2"/>
      <c r="N40" s="7">
        <f t="shared" si="27"/>
        <v>0.35915865930241359</v>
      </c>
      <c r="O40" s="11"/>
      <c r="P40" s="6">
        <v>718.56</v>
      </c>
      <c r="Q40" s="2"/>
      <c r="R40" s="7">
        <f t="shared" si="28"/>
        <v>0</v>
      </c>
      <c r="S40" s="2"/>
      <c r="T40" s="6">
        <v>528.67999999999995</v>
      </c>
      <c r="U40" s="2"/>
      <c r="V40" s="7">
        <f t="shared" si="29"/>
        <v>0</v>
      </c>
      <c r="W40" s="2"/>
      <c r="X40" s="6">
        <f t="shared" si="30"/>
        <v>189.88</v>
      </c>
      <c r="Y40" s="2"/>
      <c r="Z40" s="7">
        <f t="shared" si="31"/>
        <v>0.35915865930241359</v>
      </c>
    </row>
    <row r="41" spans="1:26" s="28" customFormat="1" outlineLevel="1" collapsed="1" x14ac:dyDescent="0.25">
      <c r="A41" s="27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SUM(OSRRefD22_6x_0)</f>
        <v>152.89000000000001</v>
      </c>
      <c r="E41" s="1"/>
      <c r="F41" s="5">
        <f t="shared" si="24"/>
        <v>0</v>
      </c>
      <c r="G41" s="1"/>
      <c r="H41" s="1">
        <f>SUM(OSRRefH22_6x_0)</f>
        <v>235.60999999999999</v>
      </c>
      <c r="I41" s="1"/>
      <c r="J41" s="5">
        <f t="shared" si="25"/>
        <v>0</v>
      </c>
      <c r="K41" s="1"/>
      <c r="L41" s="1">
        <f t="shared" si="26"/>
        <v>-82.71999999999997</v>
      </c>
      <c r="M41" s="1"/>
      <c r="N41" s="5">
        <f t="shared" si="27"/>
        <v>-0.35108866346929235</v>
      </c>
      <c r="O41" s="14"/>
      <c r="P41" s="1">
        <f>SUM(OSRRefP22_6x_0)</f>
        <v>1830.35</v>
      </c>
      <c r="Q41" s="1"/>
      <c r="R41" s="5">
        <f t="shared" si="28"/>
        <v>0</v>
      </c>
      <c r="S41" s="1"/>
      <c r="T41" s="1">
        <f>SUM(OSRRefT22_6x_0)</f>
        <v>653.08999999999992</v>
      </c>
      <c r="U41" s="1"/>
      <c r="V41" s="5">
        <f t="shared" si="29"/>
        <v>0</v>
      </c>
      <c r="W41" s="1"/>
      <c r="X41" s="1">
        <f t="shared" si="30"/>
        <v>1177.26</v>
      </c>
      <c r="Y41" s="1"/>
      <c r="Z41" s="5">
        <f t="shared" si="31"/>
        <v>1.8025999479397941</v>
      </c>
    </row>
    <row r="42" spans="1:26" s="24" customFormat="1" hidden="1" outlineLevel="2" x14ac:dyDescent="0.25">
      <c r="A42" s="29"/>
      <c r="B42" s="11" t="str">
        <f>CONCATENATE("          ", "6371", " - ", "COMPUTER SOFTWARE MAINTENANCE")</f>
        <v xml:space="preserve">          6371 - COMPUTER SOFTWARE MAINTENANCE</v>
      </c>
      <c r="C42" s="11"/>
      <c r="D42" s="6">
        <v>119.9</v>
      </c>
      <c r="E42" s="2"/>
      <c r="F42" s="7">
        <f t="shared" si="24"/>
        <v>0</v>
      </c>
      <c r="G42" s="2"/>
      <c r="H42" s="6">
        <v>224.95</v>
      </c>
      <c r="I42" s="2"/>
      <c r="J42" s="7">
        <f t="shared" si="25"/>
        <v>0</v>
      </c>
      <c r="K42" s="2"/>
      <c r="L42" s="6">
        <f t="shared" si="26"/>
        <v>-105.04999999999998</v>
      </c>
      <c r="M42" s="2"/>
      <c r="N42" s="7">
        <f t="shared" si="27"/>
        <v>-0.46699266503667475</v>
      </c>
      <c r="O42" s="11"/>
      <c r="P42" s="6">
        <v>239.8</v>
      </c>
      <c r="Q42" s="2"/>
      <c r="R42" s="7">
        <f t="shared" si="28"/>
        <v>0</v>
      </c>
      <c r="S42" s="2"/>
      <c r="T42" s="6">
        <v>611.04999999999995</v>
      </c>
      <c r="U42" s="2"/>
      <c r="V42" s="7">
        <f t="shared" si="29"/>
        <v>0</v>
      </c>
      <c r="W42" s="2"/>
      <c r="X42" s="6">
        <f t="shared" si="30"/>
        <v>-371.24999999999994</v>
      </c>
      <c r="Y42" s="2"/>
      <c r="Z42" s="7">
        <f t="shared" si="31"/>
        <v>-0.60756075607560756</v>
      </c>
    </row>
    <row r="43" spans="1:26" s="24" customFormat="1" hidden="1" outlineLevel="2" x14ac:dyDescent="0.25">
      <c r="A43" s="29"/>
      <c r="B43" s="11" t="str">
        <f>CONCATENATE("          ", "6373", " - ", "MAINTENANCE CONTRACTS")</f>
        <v xml:space="preserve">          6373 - MAINTENANCE CONTRACTS</v>
      </c>
      <c r="C43" s="11"/>
      <c r="D43" s="6">
        <v>32.99</v>
      </c>
      <c r="E43" s="2"/>
      <c r="F43" s="7">
        <f t="shared" si="24"/>
        <v>0</v>
      </c>
      <c r="G43" s="2"/>
      <c r="H43" s="6">
        <v>10.66</v>
      </c>
      <c r="I43" s="2"/>
      <c r="J43" s="7">
        <f t="shared" si="25"/>
        <v>0</v>
      </c>
      <c r="K43" s="2"/>
      <c r="L43" s="6">
        <f t="shared" si="26"/>
        <v>22.330000000000002</v>
      </c>
      <c r="M43" s="2"/>
      <c r="N43" s="7">
        <f t="shared" si="27"/>
        <v>2.0947467166979363</v>
      </c>
      <c r="O43" s="11"/>
      <c r="P43" s="6">
        <v>32.99</v>
      </c>
      <c r="Q43" s="2"/>
      <c r="R43" s="7">
        <f t="shared" si="28"/>
        <v>0</v>
      </c>
      <c r="S43" s="2"/>
      <c r="T43" s="6">
        <v>42.04</v>
      </c>
      <c r="U43" s="2"/>
      <c r="V43" s="7">
        <f t="shared" si="29"/>
        <v>0</v>
      </c>
      <c r="W43" s="2"/>
      <c r="X43" s="6">
        <f t="shared" si="30"/>
        <v>-9.0499999999999972</v>
      </c>
      <c r="Y43" s="2"/>
      <c r="Z43" s="7">
        <f t="shared" si="31"/>
        <v>-0.21527117031398663</v>
      </c>
    </row>
    <row r="44" spans="1:26" s="24" customFormat="1" hidden="1" outlineLevel="2" x14ac:dyDescent="0.25">
      <c r="A44" s="29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1557.56</v>
      </c>
      <c r="Q44" s="2"/>
      <c r="R44" s="7">
        <f t="shared" si="28"/>
        <v>0</v>
      </c>
      <c r="S44" s="2"/>
      <c r="T44" s="6"/>
      <c r="U44" s="2"/>
      <c r="V44" s="7">
        <f t="shared" si="29"/>
        <v>0</v>
      </c>
      <c r="W44" s="2"/>
      <c r="X44" s="6">
        <f t="shared" si="30"/>
        <v>1557.56</v>
      </c>
      <c r="Y44" s="2"/>
      <c r="Z44" s="7">
        <f t="shared" si="31"/>
        <v>0</v>
      </c>
    </row>
    <row r="45" spans="1:26" s="28" customFormat="1" outlineLevel="1" collapsed="1" x14ac:dyDescent="0.25">
      <c r="A45" s="27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SUM(OSRRefD22_7x_0)</f>
        <v>657.38</v>
      </c>
      <c r="E45" s="1"/>
      <c r="F45" s="5">
        <f t="shared" ref="F45:F49" si="32">IF(D$12=0,0,D45/D$12)</f>
        <v>0</v>
      </c>
      <c r="G45" s="1"/>
      <c r="H45" s="1">
        <f>SUM(OSRRefH22_7x_0)</f>
        <v>1024.96</v>
      </c>
      <c r="I45" s="1"/>
      <c r="J45" s="5">
        <f t="shared" ref="J45:J49" si="33">IF(H$12=0,0,H45/H$12)</f>
        <v>0</v>
      </c>
      <c r="K45" s="1"/>
      <c r="L45" s="1">
        <f t="shared" ref="L45:L49" si="34">+D45-H45</f>
        <v>-367.58000000000004</v>
      </c>
      <c r="M45" s="1"/>
      <c r="N45" s="5">
        <f t="shared" ref="N45:N49" si="35">IF(H45=0,0,L45/H45)</f>
        <v>-0.35862862940992823</v>
      </c>
      <c r="O45" s="14"/>
      <c r="P45" s="1">
        <f>SUM(OSRRefP22_7x_0)</f>
        <v>2682.65</v>
      </c>
      <c r="Q45" s="1"/>
      <c r="R45" s="5">
        <f t="shared" ref="R45:R49" si="36">IF(P$12=0,0,P45/P$12)</f>
        <v>0</v>
      </c>
      <c r="S45" s="1"/>
      <c r="T45" s="1">
        <f>SUM(OSRRefT22_7x_0)</f>
        <v>2049.92</v>
      </c>
      <c r="U45" s="1"/>
      <c r="V45" s="5">
        <f t="shared" ref="V45:V49" si="37">IF(T$12=0,0,T45/T$12)</f>
        <v>0</v>
      </c>
      <c r="W45" s="1"/>
      <c r="X45" s="1">
        <f t="shared" ref="X45:X49" si="38">+P45-T45</f>
        <v>632.73</v>
      </c>
      <c r="Y45" s="1"/>
      <c r="Z45" s="5">
        <f t="shared" ref="Z45:Z49" si="39">IF(T45=0,0,X45/T45)</f>
        <v>0.30866082578832343</v>
      </c>
    </row>
    <row r="46" spans="1:26" s="24" customFormat="1" hidden="1" outlineLevel="2" x14ac:dyDescent="0.25">
      <c r="A46" s="29"/>
      <c r="B46" s="11" t="str">
        <f>CONCATENATE("          ", "6281", " - ", "STORAGE FEE")</f>
        <v xml:space="preserve">          6281 - STORAGE FEE</v>
      </c>
      <c r="C46" s="11"/>
      <c r="D46" s="6">
        <v>657.38</v>
      </c>
      <c r="E46" s="2"/>
      <c r="F46" s="7">
        <f t="shared" si="32"/>
        <v>0</v>
      </c>
      <c r="G46" s="2"/>
      <c r="H46" s="6">
        <v>1024.96</v>
      </c>
      <c r="I46" s="2"/>
      <c r="J46" s="7">
        <f t="shared" si="33"/>
        <v>0</v>
      </c>
      <c r="K46" s="2"/>
      <c r="L46" s="6">
        <f t="shared" si="34"/>
        <v>-367.58000000000004</v>
      </c>
      <c r="M46" s="2"/>
      <c r="N46" s="7">
        <f t="shared" si="35"/>
        <v>-0.35862862940992823</v>
      </c>
      <c r="O46" s="11"/>
      <c r="P46" s="6">
        <v>2682.65</v>
      </c>
      <c r="Q46" s="2"/>
      <c r="R46" s="7">
        <f t="shared" si="36"/>
        <v>0</v>
      </c>
      <c r="S46" s="2"/>
      <c r="T46" s="6">
        <v>2049.92</v>
      </c>
      <c r="U46" s="2"/>
      <c r="V46" s="7">
        <f t="shared" si="37"/>
        <v>0</v>
      </c>
      <c r="W46" s="2"/>
      <c r="X46" s="6">
        <f t="shared" si="38"/>
        <v>632.73</v>
      </c>
      <c r="Y46" s="2"/>
      <c r="Z46" s="7">
        <f t="shared" si="39"/>
        <v>0.30866082578832343</v>
      </c>
    </row>
    <row r="47" spans="1:26" s="28" customFormat="1" outlineLevel="1" collapsed="1" x14ac:dyDescent="0.25">
      <c r="A47" s="27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195.23</v>
      </c>
      <c r="E47" s="1"/>
      <c r="F47" s="5">
        <f t="shared" si="32"/>
        <v>0</v>
      </c>
      <c r="G47" s="1"/>
      <c r="H47" s="1">
        <f>SUM(OSRRefH22_8x_0)</f>
        <v>66.58</v>
      </c>
      <c r="I47" s="1"/>
      <c r="J47" s="5">
        <f t="shared" si="33"/>
        <v>0</v>
      </c>
      <c r="K47" s="1"/>
      <c r="L47" s="1">
        <f t="shared" si="34"/>
        <v>128.64999999999998</v>
      </c>
      <c r="M47" s="1"/>
      <c r="N47" s="5">
        <f t="shared" si="35"/>
        <v>1.9322619405226793</v>
      </c>
      <c r="O47" s="14"/>
      <c r="P47" s="1">
        <f>SUM(OSRRefP22_8x_0)</f>
        <v>1540.82</v>
      </c>
      <c r="Q47" s="1"/>
      <c r="R47" s="5">
        <f t="shared" si="36"/>
        <v>0</v>
      </c>
      <c r="S47" s="1"/>
      <c r="T47" s="1">
        <f>SUM(OSRRefT22_8x_0)</f>
        <v>714.04</v>
      </c>
      <c r="U47" s="1"/>
      <c r="V47" s="5">
        <f t="shared" si="37"/>
        <v>0</v>
      </c>
      <c r="W47" s="1"/>
      <c r="X47" s="1">
        <f t="shared" si="38"/>
        <v>826.78</v>
      </c>
      <c r="Y47" s="1"/>
      <c r="Z47" s="5">
        <f t="shared" si="39"/>
        <v>1.1578903142681083</v>
      </c>
    </row>
    <row r="48" spans="1:26" s="24" customFormat="1" hidden="1" outlineLevel="2" x14ac:dyDescent="0.25">
      <c r="A48" s="29"/>
      <c r="B48" s="11" t="str">
        <f>CONCATENATE("          ", "6235", " - ", "COVID-19 EXPENSES")</f>
        <v xml:space="preserve">          6235 - COVID-19 EXPENSES</v>
      </c>
      <c r="C48" s="11"/>
      <c r="D48" s="6"/>
      <c r="E48" s="2"/>
      <c r="F48" s="7">
        <f t="shared" si="32"/>
        <v>0</v>
      </c>
      <c r="G48" s="2"/>
      <c r="H48" s="6"/>
      <c r="I48" s="2"/>
      <c r="J48" s="7">
        <f t="shared" si="33"/>
        <v>0</v>
      </c>
      <c r="K48" s="2"/>
      <c r="L48" s="6">
        <f t="shared" si="34"/>
        <v>0</v>
      </c>
      <c r="M48" s="2"/>
      <c r="N48" s="7">
        <f t="shared" si="35"/>
        <v>0</v>
      </c>
      <c r="O48" s="11"/>
      <c r="P48" s="6"/>
      <c r="Q48" s="2"/>
      <c r="R48" s="7">
        <f t="shared" si="36"/>
        <v>0</v>
      </c>
      <c r="S48" s="2"/>
      <c r="T48" s="6">
        <v>426.66</v>
      </c>
      <c r="U48" s="2"/>
      <c r="V48" s="7">
        <f t="shared" si="37"/>
        <v>0</v>
      </c>
      <c r="W48" s="2"/>
      <c r="X48" s="6">
        <f t="shared" si="38"/>
        <v>-426.66</v>
      </c>
      <c r="Y48" s="2"/>
      <c r="Z48" s="7">
        <f t="shared" si="39"/>
        <v>-1</v>
      </c>
    </row>
    <row r="49" spans="1:26" s="24" customFormat="1" hidden="1" outlineLevel="2" x14ac:dyDescent="0.25">
      <c r="A49" s="29"/>
      <c r="B49" s="11" t="str">
        <f>CONCATENATE("          ", "6241", " - ", "OFFICE EXPENSE")</f>
        <v xml:space="preserve">          6241 - OFFICE EXPENSE</v>
      </c>
      <c r="C49" s="11"/>
      <c r="D49" s="6">
        <v>195.23</v>
      </c>
      <c r="E49" s="2"/>
      <c r="F49" s="7">
        <f t="shared" si="32"/>
        <v>0</v>
      </c>
      <c r="G49" s="2"/>
      <c r="H49" s="6">
        <v>66.58</v>
      </c>
      <c r="I49" s="2"/>
      <c r="J49" s="7">
        <f t="shared" si="33"/>
        <v>0</v>
      </c>
      <c r="K49" s="2"/>
      <c r="L49" s="6">
        <f t="shared" si="34"/>
        <v>128.64999999999998</v>
      </c>
      <c r="M49" s="2"/>
      <c r="N49" s="7">
        <f t="shared" si="35"/>
        <v>1.9322619405226793</v>
      </c>
      <c r="O49" s="11"/>
      <c r="P49" s="6">
        <v>1540.82</v>
      </c>
      <c r="Q49" s="2"/>
      <c r="R49" s="7">
        <f t="shared" si="36"/>
        <v>0</v>
      </c>
      <c r="S49" s="2"/>
      <c r="T49" s="6">
        <v>287.38</v>
      </c>
      <c r="U49" s="2"/>
      <c r="V49" s="7">
        <f t="shared" si="37"/>
        <v>0</v>
      </c>
      <c r="W49" s="2"/>
      <c r="X49" s="6">
        <f t="shared" si="38"/>
        <v>1253.44</v>
      </c>
      <c r="Y49" s="2"/>
      <c r="Z49" s="7">
        <f t="shared" si="39"/>
        <v>4.3616118031874178</v>
      </c>
    </row>
    <row r="50" spans="1:26" s="28" customFormat="1" outlineLevel="1" collapsed="1" x14ac:dyDescent="0.25">
      <c r="A50" s="27"/>
      <c r="B50" s="14" t="str">
        <f>CONCATENATE("     ","Telephone/Data Lines                              ")</f>
        <v xml:space="preserve">     Telephone/Data Lines                              </v>
      </c>
      <c r="C50" s="14"/>
      <c r="D50" s="1">
        <f>SUM(OSRRefD22_9x_0)</f>
        <v>496.9</v>
      </c>
      <c r="E50" s="1"/>
      <c r="F50" s="5">
        <f t="shared" ref="F50:F55" si="40">IF(D$12=0,0,D50/D$12)</f>
        <v>0</v>
      </c>
      <c r="G50" s="1"/>
      <c r="H50" s="1">
        <f>SUM(OSRRefH22_9x_0)</f>
        <v>425.8</v>
      </c>
      <c r="I50" s="1"/>
      <c r="J50" s="5">
        <f t="shared" ref="J50:J55" si="41">IF(H$12=0,0,H50/H$12)</f>
        <v>0</v>
      </c>
      <c r="K50" s="1"/>
      <c r="L50" s="1">
        <f t="shared" ref="L50:L55" si="42">+D50-H50</f>
        <v>71.099999999999966</v>
      </c>
      <c r="M50" s="1"/>
      <c r="N50" s="5">
        <f t="shared" ref="N50:N55" si="43">IF(H50=0,0,L50/H50)</f>
        <v>0.16697980272428362</v>
      </c>
      <c r="O50" s="14"/>
      <c r="P50" s="1">
        <f>SUM(OSRRefP22_9x_0)</f>
        <v>1790.6</v>
      </c>
      <c r="Q50" s="1"/>
      <c r="R50" s="5">
        <f t="shared" ref="R50:R55" si="44">IF(P$12=0,0,P50/P$12)</f>
        <v>0</v>
      </c>
      <c r="S50" s="1"/>
      <c r="T50" s="1">
        <f>SUM(OSRRefT22_9x_0)</f>
        <v>1692.25</v>
      </c>
      <c r="U50" s="1"/>
      <c r="V50" s="5">
        <f t="shared" ref="V50:V55" si="45">IF(T$12=0,0,T50/T$12)</f>
        <v>0</v>
      </c>
      <c r="W50" s="1"/>
      <c r="X50" s="1">
        <f t="shared" ref="X50:X55" si="46">+P50-T50</f>
        <v>98.349999999999909</v>
      </c>
      <c r="Y50" s="1"/>
      <c r="Z50" s="5">
        <f t="shared" ref="Z50:Z55" si="47">IF(T50=0,0,X50/T50)</f>
        <v>5.8117890382626623E-2</v>
      </c>
    </row>
    <row r="51" spans="1:26" s="24" customFormat="1" hidden="1" outlineLevel="2" x14ac:dyDescent="0.25">
      <c r="A51" s="29"/>
      <c r="B51" s="11" t="str">
        <f>CONCATENATE("          ", "6309", " - ", "TELEPHONE")</f>
        <v xml:space="preserve">          6309 - TELEPHONE</v>
      </c>
      <c r="C51" s="11"/>
      <c r="D51" s="6">
        <v>496.9</v>
      </c>
      <c r="E51" s="2"/>
      <c r="F51" s="7">
        <f t="shared" si="40"/>
        <v>0</v>
      </c>
      <c r="G51" s="2"/>
      <c r="H51" s="6">
        <v>425.8</v>
      </c>
      <c r="I51" s="2"/>
      <c r="J51" s="7">
        <f t="shared" si="41"/>
        <v>0</v>
      </c>
      <c r="K51" s="2"/>
      <c r="L51" s="6">
        <f t="shared" si="42"/>
        <v>71.099999999999966</v>
      </c>
      <c r="M51" s="2"/>
      <c r="N51" s="7">
        <f t="shared" si="43"/>
        <v>0.16697980272428362</v>
      </c>
      <c r="O51" s="11"/>
      <c r="P51" s="6">
        <v>1790.6</v>
      </c>
      <c r="Q51" s="2"/>
      <c r="R51" s="7">
        <f t="shared" si="44"/>
        <v>0</v>
      </c>
      <c r="S51" s="2"/>
      <c r="T51" s="6">
        <v>1692.25</v>
      </c>
      <c r="U51" s="2"/>
      <c r="V51" s="7">
        <f t="shared" si="45"/>
        <v>0</v>
      </c>
      <c r="W51" s="2"/>
      <c r="X51" s="6">
        <f t="shared" si="46"/>
        <v>98.349999999999909</v>
      </c>
      <c r="Y51" s="2"/>
      <c r="Z51" s="7">
        <f t="shared" si="47"/>
        <v>5.8117890382626623E-2</v>
      </c>
    </row>
    <row r="52" spans="1:26" s="28" customFormat="1" outlineLevel="1" collapsed="1" x14ac:dyDescent="0.25">
      <c r="A52" s="27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SUM(OSRRefD22_10x_0)</f>
        <v>0</v>
      </c>
      <c r="E52" s="1"/>
      <c r="F52" s="5">
        <f t="shared" si="40"/>
        <v>0</v>
      </c>
      <c r="G52" s="1"/>
      <c r="H52" s="1">
        <f>SUM(OSRRefH22_10x_0)</f>
        <v>199</v>
      </c>
      <c r="I52" s="1"/>
      <c r="J52" s="5">
        <f t="shared" si="41"/>
        <v>0</v>
      </c>
      <c r="K52" s="1"/>
      <c r="L52" s="1">
        <f t="shared" si="42"/>
        <v>-199</v>
      </c>
      <c r="M52" s="1"/>
      <c r="N52" s="5">
        <f t="shared" si="43"/>
        <v>-1</v>
      </c>
      <c r="O52" s="14"/>
      <c r="P52" s="1">
        <f>SUM(OSRRefP22_10x_0)</f>
        <v>595</v>
      </c>
      <c r="Q52" s="1"/>
      <c r="R52" s="5">
        <f t="shared" si="44"/>
        <v>0</v>
      </c>
      <c r="S52" s="1"/>
      <c r="T52" s="1">
        <f>SUM(OSRRefT22_10x_0)</f>
        <v>398</v>
      </c>
      <c r="U52" s="1"/>
      <c r="V52" s="5">
        <f t="shared" si="45"/>
        <v>0</v>
      </c>
      <c r="W52" s="1"/>
      <c r="X52" s="1">
        <f t="shared" si="46"/>
        <v>197</v>
      </c>
      <c r="Y52" s="1"/>
      <c r="Z52" s="5">
        <f t="shared" si="47"/>
        <v>0.49497487437185927</v>
      </c>
    </row>
    <row r="53" spans="1:26" s="24" customFormat="1" hidden="1" outlineLevel="2" x14ac:dyDescent="0.25">
      <c r="A53" s="29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40"/>
        <v>0</v>
      </c>
      <c r="G53" s="2"/>
      <c r="H53" s="6">
        <v>199</v>
      </c>
      <c r="I53" s="2"/>
      <c r="J53" s="7">
        <f t="shared" si="41"/>
        <v>0</v>
      </c>
      <c r="K53" s="2"/>
      <c r="L53" s="6">
        <f t="shared" si="42"/>
        <v>-199</v>
      </c>
      <c r="M53" s="2"/>
      <c r="N53" s="7">
        <f t="shared" si="43"/>
        <v>-1</v>
      </c>
      <c r="O53" s="11"/>
      <c r="P53" s="6">
        <v>595</v>
      </c>
      <c r="Q53" s="2"/>
      <c r="R53" s="7">
        <f t="shared" si="44"/>
        <v>0</v>
      </c>
      <c r="S53" s="2"/>
      <c r="T53" s="6">
        <v>398</v>
      </c>
      <c r="U53" s="2"/>
      <c r="V53" s="7">
        <f t="shared" si="45"/>
        <v>0</v>
      </c>
      <c r="W53" s="2"/>
      <c r="X53" s="6">
        <f t="shared" si="46"/>
        <v>197</v>
      </c>
      <c r="Y53" s="2"/>
      <c r="Z53" s="7">
        <f t="shared" si="47"/>
        <v>0.49497487437185927</v>
      </c>
    </row>
    <row r="54" spans="1:26" s="28" customFormat="1" outlineLevel="1" collapsed="1" x14ac:dyDescent="0.25">
      <c r="A54" s="27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SUM(OSRRefD22_11x_0)</f>
        <v>0</v>
      </c>
      <c r="E54" s="1"/>
      <c r="F54" s="5">
        <f t="shared" si="40"/>
        <v>0</v>
      </c>
      <c r="G54" s="1"/>
      <c r="H54" s="1">
        <f>SUM(OSRRefH22_11x_0)</f>
        <v>29.07</v>
      </c>
      <c r="I54" s="1"/>
      <c r="J54" s="5">
        <f t="shared" si="41"/>
        <v>0</v>
      </c>
      <c r="K54" s="1"/>
      <c r="L54" s="1">
        <f t="shared" si="42"/>
        <v>-29.07</v>
      </c>
      <c r="M54" s="1"/>
      <c r="N54" s="5">
        <f t="shared" si="43"/>
        <v>-1</v>
      </c>
      <c r="O54" s="14"/>
      <c r="P54" s="1">
        <f>SUM(OSRRefP22_11x_0)</f>
        <v>30.4</v>
      </c>
      <c r="Q54" s="1"/>
      <c r="R54" s="5">
        <f t="shared" si="44"/>
        <v>0</v>
      </c>
      <c r="S54" s="1"/>
      <c r="T54" s="1">
        <f>SUM(OSRRefT22_11x_0)</f>
        <v>46.62</v>
      </c>
      <c r="U54" s="1"/>
      <c r="V54" s="5">
        <f t="shared" si="45"/>
        <v>0</v>
      </c>
      <c r="W54" s="1"/>
      <c r="X54" s="1">
        <f t="shared" si="46"/>
        <v>-16.22</v>
      </c>
      <c r="Y54" s="1"/>
      <c r="Z54" s="5">
        <f t="shared" si="47"/>
        <v>-0.34791934791934792</v>
      </c>
    </row>
    <row r="55" spans="1:26" s="24" customFormat="1" hidden="1" outlineLevel="2" x14ac:dyDescent="0.25">
      <c r="A55" s="29"/>
      <c r="B55" s="11" t="str">
        <f>CONCATENATE("          ", "6294", " - ", "TRAVEL OPERATIONAL")</f>
        <v xml:space="preserve">          6294 - TRAVEL OPERATIONAL</v>
      </c>
      <c r="C55" s="11"/>
      <c r="D55" s="6"/>
      <c r="E55" s="2"/>
      <c r="F55" s="7">
        <f t="shared" si="40"/>
        <v>0</v>
      </c>
      <c r="G55" s="2"/>
      <c r="H55" s="6">
        <v>29.07</v>
      </c>
      <c r="I55" s="2"/>
      <c r="J55" s="7">
        <f t="shared" si="41"/>
        <v>0</v>
      </c>
      <c r="K55" s="2"/>
      <c r="L55" s="6">
        <f t="shared" si="42"/>
        <v>-29.07</v>
      </c>
      <c r="M55" s="2"/>
      <c r="N55" s="7">
        <f t="shared" si="43"/>
        <v>-1</v>
      </c>
      <c r="O55" s="11"/>
      <c r="P55" s="6">
        <v>30.4</v>
      </c>
      <c r="Q55" s="2"/>
      <c r="R55" s="7">
        <f t="shared" si="44"/>
        <v>0</v>
      </c>
      <c r="S55" s="2"/>
      <c r="T55" s="6">
        <v>46.62</v>
      </c>
      <c r="U55" s="2"/>
      <c r="V55" s="7">
        <f t="shared" si="45"/>
        <v>0</v>
      </c>
      <c r="W55" s="2"/>
      <c r="X55" s="6">
        <f t="shared" si="46"/>
        <v>-16.22</v>
      </c>
      <c r="Y55" s="2"/>
      <c r="Z55" s="7">
        <f t="shared" si="47"/>
        <v>-0.34791934791934792</v>
      </c>
    </row>
    <row r="56" spans="1:26" s="56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5" t="s">
        <v>292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6" t="s">
        <v>276</v>
      </c>
      <c r="C59" s="26"/>
      <c r="D59" s="22">
        <f>+D16-D18+D57</f>
        <v>-46230.25</v>
      </c>
      <c r="E59" s="13"/>
      <c r="F59" s="20">
        <f>IF(D$12=0,0,D59/D$12)</f>
        <v>0</v>
      </c>
      <c r="G59" s="13"/>
      <c r="H59" s="22">
        <f>+H16-H18+H57</f>
        <v>-46110.25</v>
      </c>
      <c r="I59" s="13"/>
      <c r="J59" s="20">
        <f>IF(H$12=0,0,H59/H$12)</f>
        <v>0</v>
      </c>
      <c r="K59" s="15"/>
      <c r="L59" s="22">
        <f>+D59-H59</f>
        <v>-120</v>
      </c>
      <c r="M59" s="15"/>
      <c r="N59" s="20">
        <f>IF(H59=0,0,L59/H59)</f>
        <v>2.6024582386779513E-3</v>
      </c>
      <c r="O59" s="25"/>
      <c r="P59" s="22">
        <f>+P16-P18+P57</f>
        <v>-166089.64999999997</v>
      </c>
      <c r="Q59" s="13"/>
      <c r="R59" s="20">
        <f>IF(P$12=0,0,P59/P$12)</f>
        <v>0</v>
      </c>
      <c r="S59" s="13"/>
      <c r="T59" s="22">
        <f>+T16-T18+T57</f>
        <v>-156156.54000000004</v>
      </c>
      <c r="U59" s="13"/>
      <c r="V59" s="20">
        <f>IF(T$12=0,0,T59/T$12)</f>
        <v>0</v>
      </c>
      <c r="W59" s="15"/>
      <c r="X59" s="22">
        <f>+P59-T59</f>
        <v>-9933.1099999999278</v>
      </c>
      <c r="Y59" s="15"/>
      <c r="Z59" s="20">
        <f>IF(T59=0,0,X59/T59)</f>
        <v>6.3609951911075421E-2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127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125</v>
      </c>
      <c r="C63" s="26"/>
      <c r="D63" s="33">
        <f>+D59-D61</f>
        <v>-46230.25</v>
      </c>
      <c r="E63" s="13"/>
      <c r="F63" s="31">
        <f>IF(D$12=0,0,D63/D$12)</f>
        <v>0</v>
      </c>
      <c r="G63" s="13"/>
      <c r="H63" s="33">
        <f>+H59-H61</f>
        <v>-46110.25</v>
      </c>
      <c r="I63" s="13"/>
      <c r="J63" s="31">
        <f>IF(H$12=0,0,H63/H$12)</f>
        <v>0</v>
      </c>
      <c r="K63" s="15"/>
      <c r="L63" s="33">
        <f>D63-H63</f>
        <v>-120</v>
      </c>
      <c r="M63" s="15"/>
      <c r="N63" s="31">
        <f>IF(H63=0,0,L63/H63)</f>
        <v>2.6024582386779513E-3</v>
      </c>
      <c r="O63" s="25"/>
      <c r="P63" s="33">
        <f>+P59-P61</f>
        <v>-166089.64999999997</v>
      </c>
      <c r="Q63" s="13"/>
      <c r="R63" s="31">
        <f>IF(P$12=0,0,P63/P$12)</f>
        <v>0</v>
      </c>
      <c r="S63" s="13"/>
      <c r="T63" s="33">
        <f>+T59-T61</f>
        <v>-156156.54000000004</v>
      </c>
      <c r="U63" s="13"/>
      <c r="V63" s="31">
        <f>IF(T$12=0,0,T63/T$12)</f>
        <v>0</v>
      </c>
      <c r="W63" s="15"/>
      <c r="X63" s="33">
        <f>P63-T63</f>
        <v>-9933.1099999999278</v>
      </c>
      <c r="Y63" s="15"/>
      <c r="Z63" s="31">
        <f>IF(T63=0,0,X63/T63)</f>
        <v>6.3609951911075421E-2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293</v>
      </c>
      <c r="C66" s="26"/>
      <c r="D66" s="34">
        <f>SUM(D63:D65)</f>
        <v>-46230.25</v>
      </c>
      <c r="E66" s="13"/>
      <c r="F66" s="30">
        <f>IF(D$12=0,0,D66/D$12)</f>
        <v>0</v>
      </c>
      <c r="G66" s="13"/>
      <c r="H66" s="34">
        <f>SUM(H63:H65)</f>
        <v>-46110.25</v>
      </c>
      <c r="I66" s="13"/>
      <c r="J66" s="30">
        <f>IF(H$12=0,0,H66/H$12)</f>
        <v>0</v>
      </c>
      <c r="K66" s="15"/>
      <c r="L66" s="34">
        <f>+D66-H66</f>
        <v>-120</v>
      </c>
      <c r="M66" s="15"/>
      <c r="N66" s="30">
        <f>IF(H66=0,0,L66/H66)</f>
        <v>2.6024582386779513E-3</v>
      </c>
      <c r="O66" s="25"/>
      <c r="P66" s="34">
        <f>SUM(P63:P65)</f>
        <v>-166089.64999999997</v>
      </c>
      <c r="Q66" s="13"/>
      <c r="R66" s="30">
        <f>IF(P$12=0,0,P66/P$12)</f>
        <v>0</v>
      </c>
      <c r="S66" s="13"/>
      <c r="T66" s="34">
        <f>SUM(T63:T65)</f>
        <v>-156156.54000000004</v>
      </c>
      <c r="U66" s="13"/>
      <c r="V66" s="30">
        <f>IF(T$12=0,0,T66/T$12)</f>
        <v>0</v>
      </c>
      <c r="W66" s="15"/>
      <c r="X66" s="34">
        <f>+P66-T66</f>
        <v>-9933.1099999999278</v>
      </c>
      <c r="Y66" s="15"/>
      <c r="Z66" s="30">
        <f>IF(T66=0,0,X66/T66)</f>
        <v>6.3609951911075421E-2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61">
        <v>44517.967041516204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7" t="s">
        <v>56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8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63484.42</v>
      </c>
      <c r="E18" s="21"/>
      <c r="F18" s="36">
        <f t="shared" ref="F18:F28" si="0">IF(D$12=0,0,D18/D$12)</f>
        <v>0</v>
      </c>
      <c r="G18" s="21"/>
      <c r="H18" s="21">
        <f>SUM(OSRRefH22x_0)</f>
        <v>53720.339999999989</v>
      </c>
      <c r="I18" s="21"/>
      <c r="J18" s="36">
        <f t="shared" ref="J18:J28" si="1">IF(H$12=0,0,H18/H$12)</f>
        <v>0</v>
      </c>
      <c r="K18" s="4"/>
      <c r="L18" s="21">
        <f t="shared" ref="L18:L28" si="2">+D18-H18</f>
        <v>9764.080000000009</v>
      </c>
      <c r="M18" s="4"/>
      <c r="N18" s="36">
        <f t="shared" ref="N18:N28" si="3">IF(H18=0,0,L18/H18)</f>
        <v>0.1817575987046994</v>
      </c>
      <c r="O18" s="10"/>
      <c r="P18" s="21">
        <f>SUM(OSRRefP22x_0)</f>
        <v>217212.36999999994</v>
      </c>
      <c r="Q18" s="21"/>
      <c r="R18" s="36">
        <f t="shared" ref="R18:R28" si="4">IF(P$12=0,0,P18/P$12)</f>
        <v>0</v>
      </c>
      <c r="S18" s="21"/>
      <c r="T18" s="21">
        <f>SUM(OSRRefT22x_0)</f>
        <v>188699.37999999998</v>
      </c>
      <c r="U18" s="21"/>
      <c r="V18" s="36">
        <f t="shared" ref="V18:V28" si="5">IF(T$12=0,0,T18/T$12)</f>
        <v>0</v>
      </c>
      <c r="W18" s="4"/>
      <c r="X18" s="21">
        <f t="shared" ref="X18:X28" si="6">+P18-T18</f>
        <v>28512.989999999962</v>
      </c>
      <c r="Y18" s="4"/>
      <c r="Z18" s="36">
        <f t="shared" ref="Z18:Z28" si="7">IF(T18=0,0,X18/T18)</f>
        <v>0.1511027222241004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16808.91</v>
      </c>
      <c r="E19" s="1"/>
      <c r="F19" s="5">
        <f t="shared" si="0"/>
        <v>0</v>
      </c>
      <c r="G19" s="1"/>
      <c r="H19" s="1">
        <f>SUM(OSRRefH22_0x_0)</f>
        <v>15219.369999999999</v>
      </c>
      <c r="I19" s="1"/>
      <c r="J19" s="5">
        <f t="shared" si="1"/>
        <v>0</v>
      </c>
      <c r="K19" s="1"/>
      <c r="L19" s="1">
        <f t="shared" si="2"/>
        <v>1589.5400000000009</v>
      </c>
      <c r="M19" s="1"/>
      <c r="N19" s="5">
        <f t="shared" si="3"/>
        <v>0.10444190528254461</v>
      </c>
      <c r="O19" s="14"/>
      <c r="P19" s="1">
        <f>SUM(OSRRefP22_0x_0)</f>
        <v>57243.069999999992</v>
      </c>
      <c r="Q19" s="1"/>
      <c r="R19" s="5">
        <f t="shared" si="4"/>
        <v>0</v>
      </c>
      <c r="S19" s="1"/>
      <c r="T19" s="1">
        <f>SUM(OSRRefT22_0x_0)</f>
        <v>52001.250000000007</v>
      </c>
      <c r="U19" s="1"/>
      <c r="V19" s="5">
        <f t="shared" si="5"/>
        <v>0</v>
      </c>
      <c r="W19" s="1"/>
      <c r="X19" s="1">
        <f t="shared" si="6"/>
        <v>5241.8199999999852</v>
      </c>
      <c r="Y19" s="1"/>
      <c r="Z19" s="5">
        <f t="shared" si="7"/>
        <v>0.1008018076488543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3274.4</v>
      </c>
      <c r="E20" s="2"/>
      <c r="F20" s="7">
        <f t="shared" si="0"/>
        <v>0</v>
      </c>
      <c r="G20" s="2"/>
      <c r="H20" s="6">
        <v>3822.22</v>
      </c>
      <c r="I20" s="2"/>
      <c r="J20" s="7">
        <f t="shared" si="1"/>
        <v>0</v>
      </c>
      <c r="K20" s="2"/>
      <c r="L20" s="6">
        <f t="shared" si="2"/>
        <v>-547.81999999999971</v>
      </c>
      <c r="M20" s="2"/>
      <c r="N20" s="7">
        <f t="shared" si="3"/>
        <v>-0.14332508332853675</v>
      </c>
      <c r="O20" s="11"/>
      <c r="P20" s="6">
        <v>9547.82</v>
      </c>
      <c r="Q20" s="2"/>
      <c r="R20" s="7">
        <f t="shared" si="4"/>
        <v>0</v>
      </c>
      <c r="S20" s="2"/>
      <c r="T20" s="6">
        <v>9796.26</v>
      </c>
      <c r="U20" s="2"/>
      <c r="V20" s="7">
        <f t="shared" si="5"/>
        <v>0</v>
      </c>
      <c r="W20" s="2"/>
      <c r="X20" s="6">
        <f t="shared" si="6"/>
        <v>-248.44000000000051</v>
      </c>
      <c r="Y20" s="2"/>
      <c r="Z20" s="7">
        <f t="shared" si="7"/>
        <v>-2.5360698878959982E-2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548.39</v>
      </c>
      <c r="E21" s="2"/>
      <c r="F21" s="7">
        <f t="shared" si="0"/>
        <v>0</v>
      </c>
      <c r="G21" s="2"/>
      <c r="H21" s="6">
        <v>84.73</v>
      </c>
      <c r="I21" s="2"/>
      <c r="J21" s="7">
        <f t="shared" si="1"/>
        <v>0</v>
      </c>
      <c r="K21" s="2"/>
      <c r="L21" s="6">
        <f t="shared" si="2"/>
        <v>463.65999999999997</v>
      </c>
      <c r="M21" s="2"/>
      <c r="N21" s="7">
        <f t="shared" si="3"/>
        <v>5.4722058302844321</v>
      </c>
      <c r="O21" s="11"/>
      <c r="P21" s="6">
        <v>1601.09</v>
      </c>
      <c r="Q21" s="2"/>
      <c r="R21" s="7">
        <f t="shared" si="4"/>
        <v>0</v>
      </c>
      <c r="S21" s="2"/>
      <c r="T21" s="6">
        <v>340.44</v>
      </c>
      <c r="U21" s="2"/>
      <c r="V21" s="7">
        <f t="shared" si="5"/>
        <v>0</v>
      </c>
      <c r="W21" s="2"/>
      <c r="X21" s="6">
        <f t="shared" si="6"/>
        <v>1260.6499999999999</v>
      </c>
      <c r="Y21" s="2"/>
      <c r="Z21" s="7">
        <f t="shared" si="7"/>
        <v>3.7030019974151096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6048.94</v>
      </c>
      <c r="E22" s="2"/>
      <c r="F22" s="7">
        <f t="shared" si="0"/>
        <v>0</v>
      </c>
      <c r="G22" s="2"/>
      <c r="H22" s="6">
        <v>6091.67</v>
      </c>
      <c r="I22" s="2"/>
      <c r="J22" s="7">
        <f t="shared" si="1"/>
        <v>0</v>
      </c>
      <c r="K22" s="2"/>
      <c r="L22" s="6">
        <f t="shared" si="2"/>
        <v>-42.730000000000473</v>
      </c>
      <c r="M22" s="2"/>
      <c r="N22" s="7">
        <f t="shared" si="3"/>
        <v>-7.0144968456926377E-3</v>
      </c>
      <c r="O22" s="11"/>
      <c r="P22" s="6">
        <v>24229.51</v>
      </c>
      <c r="Q22" s="2"/>
      <c r="R22" s="7">
        <f t="shared" si="4"/>
        <v>0</v>
      </c>
      <c r="S22" s="2"/>
      <c r="T22" s="6">
        <v>24366.68</v>
      </c>
      <c r="U22" s="2"/>
      <c r="V22" s="7">
        <f t="shared" si="5"/>
        <v>0</v>
      </c>
      <c r="W22" s="2"/>
      <c r="X22" s="6">
        <f t="shared" si="6"/>
        <v>-137.17000000000189</v>
      </c>
      <c r="Y22" s="2"/>
      <c r="Z22" s="7">
        <f t="shared" si="7"/>
        <v>-5.6294086843181714E-3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110.53</v>
      </c>
      <c r="E23" s="2"/>
      <c r="F23" s="7">
        <f t="shared" si="0"/>
        <v>0</v>
      </c>
      <c r="G23" s="2"/>
      <c r="H23" s="6">
        <v>66.760000000000005</v>
      </c>
      <c r="I23" s="2"/>
      <c r="J23" s="7">
        <f t="shared" si="1"/>
        <v>0</v>
      </c>
      <c r="K23" s="2"/>
      <c r="L23" s="6">
        <f t="shared" si="2"/>
        <v>43.769999999999996</v>
      </c>
      <c r="M23" s="2"/>
      <c r="N23" s="7">
        <f t="shared" si="3"/>
        <v>0.65563211503894536</v>
      </c>
      <c r="O23" s="11"/>
      <c r="P23" s="6">
        <v>322.7</v>
      </c>
      <c r="Q23" s="2"/>
      <c r="R23" s="7">
        <f t="shared" si="4"/>
        <v>0</v>
      </c>
      <c r="S23" s="2"/>
      <c r="T23" s="6">
        <v>268.23</v>
      </c>
      <c r="U23" s="2"/>
      <c r="V23" s="7">
        <f t="shared" si="5"/>
        <v>0</v>
      </c>
      <c r="W23" s="2"/>
      <c r="X23" s="6">
        <f t="shared" si="6"/>
        <v>54.46999999999997</v>
      </c>
      <c r="Y23" s="2"/>
      <c r="Z23" s="7">
        <f t="shared" si="7"/>
        <v>0.20307199045595187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1857.03</v>
      </c>
      <c r="E24" s="2"/>
      <c r="F24" s="7">
        <f t="shared" si="0"/>
        <v>0</v>
      </c>
      <c r="G24" s="2"/>
      <c r="H24" s="6">
        <v>1091.48</v>
      </c>
      <c r="I24" s="2"/>
      <c r="J24" s="7">
        <f t="shared" si="1"/>
        <v>0</v>
      </c>
      <c r="K24" s="2"/>
      <c r="L24" s="6">
        <f t="shared" si="2"/>
        <v>765.55</v>
      </c>
      <c r="M24" s="2"/>
      <c r="N24" s="7">
        <f t="shared" si="3"/>
        <v>0.70138710741378674</v>
      </c>
      <c r="O24" s="11"/>
      <c r="P24" s="6">
        <v>5571.09</v>
      </c>
      <c r="Q24" s="2"/>
      <c r="R24" s="7">
        <f t="shared" si="4"/>
        <v>0</v>
      </c>
      <c r="S24" s="2"/>
      <c r="T24" s="6">
        <v>4911.66</v>
      </c>
      <c r="U24" s="2"/>
      <c r="V24" s="7">
        <f t="shared" si="5"/>
        <v>0</v>
      </c>
      <c r="W24" s="2"/>
      <c r="X24" s="6">
        <f t="shared" si="6"/>
        <v>659.43000000000029</v>
      </c>
      <c r="Y24" s="2"/>
      <c r="Z24" s="7">
        <f t="shared" si="7"/>
        <v>0.13425807160919126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6">
        <v>631.9</v>
      </c>
      <c r="E25" s="2"/>
      <c r="F25" s="7">
        <f t="shared" si="0"/>
        <v>0</v>
      </c>
      <c r="G25" s="2"/>
      <c r="H25" s="6">
        <v>592.51</v>
      </c>
      <c r="I25" s="2"/>
      <c r="J25" s="7">
        <f t="shared" si="1"/>
        <v>0</v>
      </c>
      <c r="K25" s="2"/>
      <c r="L25" s="6">
        <f t="shared" si="2"/>
        <v>39.389999999999986</v>
      </c>
      <c r="M25" s="2"/>
      <c r="N25" s="7">
        <f t="shared" si="3"/>
        <v>6.6479890634757191E-2</v>
      </c>
      <c r="O25" s="11"/>
      <c r="P25" s="6">
        <v>2482.33</v>
      </c>
      <c r="Q25" s="2"/>
      <c r="R25" s="7">
        <f t="shared" si="4"/>
        <v>0</v>
      </c>
      <c r="S25" s="2"/>
      <c r="T25" s="6">
        <v>2669.64</v>
      </c>
      <c r="U25" s="2"/>
      <c r="V25" s="7">
        <f t="shared" si="5"/>
        <v>0</v>
      </c>
      <c r="W25" s="2"/>
      <c r="X25" s="6">
        <f t="shared" si="6"/>
        <v>-187.30999999999995</v>
      </c>
      <c r="Y25" s="2"/>
      <c r="Z25" s="7">
        <f t="shared" si="7"/>
        <v>-7.0163018234668334E-2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2167.06</v>
      </c>
      <c r="E26" s="2"/>
      <c r="F26" s="7">
        <f t="shared" si="0"/>
        <v>0</v>
      </c>
      <c r="G26" s="2"/>
      <c r="H26" s="6">
        <v>2089.0500000000002</v>
      </c>
      <c r="I26" s="2"/>
      <c r="J26" s="7">
        <f t="shared" si="1"/>
        <v>0</v>
      </c>
      <c r="K26" s="2"/>
      <c r="L26" s="6">
        <f t="shared" si="2"/>
        <v>78.009999999999764</v>
      </c>
      <c r="M26" s="2"/>
      <c r="N26" s="7">
        <f t="shared" si="3"/>
        <v>3.7342332639237814E-2</v>
      </c>
      <c r="O26" s="11"/>
      <c r="P26" s="6">
        <v>7475.5</v>
      </c>
      <c r="Q26" s="2"/>
      <c r="R26" s="7">
        <f t="shared" si="4"/>
        <v>0</v>
      </c>
      <c r="S26" s="2"/>
      <c r="T26" s="6">
        <v>5428.58</v>
      </c>
      <c r="U26" s="2"/>
      <c r="V26" s="7">
        <f t="shared" si="5"/>
        <v>0</v>
      </c>
      <c r="W26" s="2"/>
      <c r="X26" s="6">
        <f t="shared" si="6"/>
        <v>2046.92</v>
      </c>
      <c r="Y26" s="2"/>
      <c r="Z26" s="7">
        <f t="shared" si="7"/>
        <v>0.37706361516271292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1741.62</v>
      </c>
      <c r="E27" s="2"/>
      <c r="F27" s="7">
        <f t="shared" si="0"/>
        <v>0</v>
      </c>
      <c r="G27" s="2"/>
      <c r="H27" s="6">
        <v>1362.18</v>
      </c>
      <c r="I27" s="2"/>
      <c r="J27" s="7">
        <f t="shared" si="1"/>
        <v>0</v>
      </c>
      <c r="K27" s="2"/>
      <c r="L27" s="6">
        <f t="shared" si="2"/>
        <v>379.43999999999983</v>
      </c>
      <c r="M27" s="2"/>
      <c r="N27" s="7">
        <f t="shared" si="3"/>
        <v>0.2785534951328017</v>
      </c>
      <c r="O27" s="11"/>
      <c r="P27" s="6">
        <v>5224.8599999999997</v>
      </c>
      <c r="Q27" s="2"/>
      <c r="R27" s="7">
        <f t="shared" si="4"/>
        <v>0</v>
      </c>
      <c r="S27" s="2"/>
      <c r="T27" s="6">
        <v>4086.54</v>
      </c>
      <c r="U27" s="2"/>
      <c r="V27" s="7">
        <f t="shared" si="5"/>
        <v>0</v>
      </c>
      <c r="W27" s="2"/>
      <c r="X27" s="6">
        <f t="shared" si="6"/>
        <v>1138.3199999999997</v>
      </c>
      <c r="Y27" s="2"/>
      <c r="Z27" s="7">
        <f t="shared" si="7"/>
        <v>0.27855349513280175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>
        <v>429.04</v>
      </c>
      <c r="E28" s="2"/>
      <c r="F28" s="7">
        <f t="shared" si="0"/>
        <v>0</v>
      </c>
      <c r="G28" s="2"/>
      <c r="H28" s="6">
        <v>18.77</v>
      </c>
      <c r="I28" s="2"/>
      <c r="J28" s="7">
        <f t="shared" si="1"/>
        <v>0</v>
      </c>
      <c r="K28" s="2"/>
      <c r="L28" s="6">
        <f t="shared" si="2"/>
        <v>410.27000000000004</v>
      </c>
      <c r="M28" s="2"/>
      <c r="N28" s="7">
        <f t="shared" si="3"/>
        <v>21.857751731486417</v>
      </c>
      <c r="O28" s="11"/>
      <c r="P28" s="6">
        <v>788.17</v>
      </c>
      <c r="Q28" s="2"/>
      <c r="R28" s="7">
        <f t="shared" si="4"/>
        <v>0</v>
      </c>
      <c r="S28" s="2"/>
      <c r="T28" s="6">
        <v>133.22</v>
      </c>
      <c r="U28" s="2"/>
      <c r="V28" s="7">
        <f t="shared" si="5"/>
        <v>0</v>
      </c>
      <c r="W28" s="2"/>
      <c r="X28" s="6">
        <f t="shared" si="6"/>
        <v>654.94999999999993</v>
      </c>
      <c r="Y28" s="2"/>
      <c r="Z28" s="7">
        <f t="shared" si="7"/>
        <v>4.9163038582795373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33194.06</v>
      </c>
      <c r="E29" s="1"/>
      <c r="F29" s="5">
        <f t="shared" ref="F29:F33" si="8">IF(D$12=0,0,D29/D$12)</f>
        <v>0</v>
      </c>
      <c r="G29" s="1"/>
      <c r="H29" s="1">
        <f>SUM(OSRRefH22_1x_0)</f>
        <v>31051.64</v>
      </c>
      <c r="I29" s="1"/>
      <c r="J29" s="5">
        <f t="shared" ref="J29:J33" si="9">IF(H$12=0,0,H29/H$12)</f>
        <v>0</v>
      </c>
      <c r="K29" s="1"/>
      <c r="L29" s="1">
        <f t="shared" ref="L29:L33" si="10">+D29-H29</f>
        <v>2142.4199999999983</v>
      </c>
      <c r="M29" s="1"/>
      <c r="N29" s="5">
        <f t="shared" ref="N29:N33" si="11">IF(H29=0,0,L29/H29)</f>
        <v>6.8995389615492078E-2</v>
      </c>
      <c r="O29" s="14"/>
      <c r="P29" s="1">
        <f>SUM(OSRRefP22_1x_0)</f>
        <v>117849.32</v>
      </c>
      <c r="Q29" s="1"/>
      <c r="R29" s="5">
        <f t="shared" ref="R29:R33" si="12">IF(P$12=0,0,P29/P$12)</f>
        <v>0</v>
      </c>
      <c r="S29" s="1"/>
      <c r="T29" s="1">
        <f>SUM(OSRRefT22_1x_0)</f>
        <v>112402.71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5446.6100000000006</v>
      </c>
      <c r="Y29" s="1"/>
      <c r="Z29" s="5">
        <f t="shared" ref="Z29:Z33" si="15">IF(T29=0,0,X29/T29)</f>
        <v>4.8456216046748345E-2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13085.43</v>
      </c>
      <c r="E30" s="2"/>
      <c r="F30" s="7">
        <f t="shared" si="8"/>
        <v>0</v>
      </c>
      <c r="G30" s="2"/>
      <c r="H30" s="6">
        <v>11378.56</v>
      </c>
      <c r="I30" s="2"/>
      <c r="J30" s="7">
        <f t="shared" si="9"/>
        <v>0</v>
      </c>
      <c r="K30" s="2"/>
      <c r="L30" s="6">
        <f t="shared" si="10"/>
        <v>1706.8700000000008</v>
      </c>
      <c r="M30" s="2"/>
      <c r="N30" s="7">
        <f t="shared" si="11"/>
        <v>0.15000755807413249</v>
      </c>
      <c r="O30" s="11"/>
      <c r="P30" s="6">
        <v>47791.3</v>
      </c>
      <c r="Q30" s="2"/>
      <c r="R30" s="7">
        <f t="shared" si="12"/>
        <v>0</v>
      </c>
      <c r="S30" s="2"/>
      <c r="T30" s="6">
        <v>41062.94</v>
      </c>
      <c r="U30" s="2"/>
      <c r="V30" s="7">
        <f t="shared" si="13"/>
        <v>0</v>
      </c>
      <c r="W30" s="2"/>
      <c r="X30" s="6">
        <f t="shared" si="14"/>
        <v>6728.3600000000006</v>
      </c>
      <c r="Y30" s="2"/>
      <c r="Z30" s="7">
        <f t="shared" si="15"/>
        <v>0.16385480435643429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6">
        <v>20959.38</v>
      </c>
      <c r="E31" s="2"/>
      <c r="F31" s="7">
        <f t="shared" si="8"/>
        <v>0</v>
      </c>
      <c r="G31" s="2"/>
      <c r="H31" s="6">
        <v>14614.27</v>
      </c>
      <c r="I31" s="2"/>
      <c r="J31" s="7">
        <f t="shared" si="9"/>
        <v>0</v>
      </c>
      <c r="K31" s="2"/>
      <c r="L31" s="6">
        <f t="shared" si="10"/>
        <v>6345.1100000000006</v>
      </c>
      <c r="M31" s="2"/>
      <c r="N31" s="7">
        <f t="shared" si="11"/>
        <v>0.43417221660746658</v>
      </c>
      <c r="O31" s="11"/>
      <c r="P31" s="6">
        <v>62176.27</v>
      </c>
      <c r="Q31" s="2"/>
      <c r="R31" s="7">
        <f t="shared" si="12"/>
        <v>0</v>
      </c>
      <c r="S31" s="2"/>
      <c r="T31" s="6">
        <v>44949.760000000002</v>
      </c>
      <c r="U31" s="2"/>
      <c r="V31" s="7">
        <f t="shared" si="13"/>
        <v>0</v>
      </c>
      <c r="W31" s="2"/>
      <c r="X31" s="6">
        <f t="shared" si="14"/>
        <v>17226.509999999995</v>
      </c>
      <c r="Y31" s="2"/>
      <c r="Z31" s="7">
        <f t="shared" si="15"/>
        <v>0.38323919860751188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6">
        <v>3267.25</v>
      </c>
      <c r="E32" s="2"/>
      <c r="F32" s="7">
        <f t="shared" si="8"/>
        <v>0</v>
      </c>
      <c r="G32" s="2"/>
      <c r="H32" s="6">
        <v>8764.81</v>
      </c>
      <c r="I32" s="2"/>
      <c r="J32" s="7">
        <f t="shared" si="9"/>
        <v>0</v>
      </c>
      <c r="K32" s="2"/>
      <c r="L32" s="6">
        <f t="shared" si="10"/>
        <v>-5497.5599999999995</v>
      </c>
      <c r="M32" s="2"/>
      <c r="N32" s="7">
        <f t="shared" si="11"/>
        <v>-0.62723093826335086</v>
      </c>
      <c r="O32" s="11"/>
      <c r="P32" s="6">
        <v>7881.75</v>
      </c>
      <c r="Q32" s="2"/>
      <c r="R32" s="7">
        <f t="shared" si="12"/>
        <v>0</v>
      </c>
      <c r="S32" s="2"/>
      <c r="T32" s="6">
        <v>26390.01</v>
      </c>
      <c r="U32" s="2"/>
      <c r="V32" s="7">
        <f t="shared" si="13"/>
        <v>0</v>
      </c>
      <c r="W32" s="2"/>
      <c r="X32" s="6">
        <f t="shared" si="14"/>
        <v>-18508.259999999998</v>
      </c>
      <c r="Y32" s="2"/>
      <c r="Z32" s="7">
        <f t="shared" si="15"/>
        <v>-0.70133584640551483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6">
        <v>-4118</v>
      </c>
      <c r="E33" s="2"/>
      <c r="F33" s="7">
        <f t="shared" si="8"/>
        <v>0</v>
      </c>
      <c r="G33" s="2"/>
      <c r="H33" s="6">
        <v>-3706</v>
      </c>
      <c r="I33" s="2"/>
      <c r="J33" s="7">
        <f t="shared" si="9"/>
        <v>0</v>
      </c>
      <c r="K33" s="2"/>
      <c r="L33" s="6">
        <f t="shared" si="10"/>
        <v>-412</v>
      </c>
      <c r="M33" s="2"/>
      <c r="N33" s="7">
        <f t="shared" si="11"/>
        <v>0.11117107393416081</v>
      </c>
      <c r="O33" s="11"/>
      <c r="P33" s="6">
        <v>0</v>
      </c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8" customFormat="1" outlineLevel="1" collapsed="1" x14ac:dyDescent="0.25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87.76</v>
      </c>
      <c r="E34" s="1"/>
      <c r="F34" s="5">
        <f t="shared" ref="F34:F46" si="16">IF(D$12=0,0,D34/D$12)</f>
        <v>0</v>
      </c>
      <c r="G34" s="1"/>
      <c r="H34" s="1">
        <f>SUM(OSRRefH22_2x_0)</f>
        <v>0</v>
      </c>
      <c r="I34" s="1"/>
      <c r="J34" s="5">
        <f t="shared" ref="J34:J46" si="17">IF(H$12=0,0,H34/H$12)</f>
        <v>0</v>
      </c>
      <c r="K34" s="1"/>
      <c r="L34" s="1">
        <f t="shared" ref="L34:L46" si="18">+D34-H34</f>
        <v>87.76</v>
      </c>
      <c r="M34" s="1"/>
      <c r="N34" s="5">
        <f t="shared" ref="N34:N46" si="19">IF(H34=0,0,L34/H34)</f>
        <v>0</v>
      </c>
      <c r="O34" s="14"/>
      <c r="P34" s="1">
        <f>SUM(OSRRefP22_2x_0)</f>
        <v>87.76</v>
      </c>
      <c r="Q34" s="1"/>
      <c r="R34" s="5">
        <f t="shared" ref="R34:R46" si="20">IF(P$12=0,0,P34/P$12)</f>
        <v>0</v>
      </c>
      <c r="S34" s="1"/>
      <c r="T34" s="1">
        <f>SUM(OSRRefT22_2x_0)</f>
        <v>0</v>
      </c>
      <c r="U34" s="1"/>
      <c r="V34" s="5">
        <f t="shared" ref="V34:V46" si="21">IF(T$12=0,0,T34/T$12)</f>
        <v>0</v>
      </c>
      <c r="W34" s="1"/>
      <c r="X34" s="1">
        <f t="shared" ref="X34:X46" si="22">+P34-T34</f>
        <v>87.76</v>
      </c>
      <c r="Y34" s="1"/>
      <c r="Z34" s="5">
        <f t="shared" ref="Z34:Z46" si="23">IF(T34=0,0,X34/T34)</f>
        <v>0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6">
        <v>87.76</v>
      </c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87.76</v>
      </c>
      <c r="M35" s="2"/>
      <c r="N35" s="7">
        <f t="shared" si="19"/>
        <v>0</v>
      </c>
      <c r="O35" s="11"/>
      <c r="P35" s="6">
        <v>87.76</v>
      </c>
      <c r="Q35" s="2"/>
      <c r="R35" s="7">
        <f t="shared" si="20"/>
        <v>0</v>
      </c>
      <c r="S35" s="2"/>
      <c r="T35" s="6"/>
      <c r="U35" s="2"/>
      <c r="V35" s="7">
        <f t="shared" si="21"/>
        <v>0</v>
      </c>
      <c r="W35" s="2"/>
      <c r="X35" s="6">
        <f t="shared" si="22"/>
        <v>87.76</v>
      </c>
      <c r="Y35" s="2"/>
      <c r="Z35" s="7">
        <f t="shared" si="23"/>
        <v>0</v>
      </c>
    </row>
    <row r="36" spans="1:26" s="28" customFormat="1" outlineLevel="1" collapsed="1" x14ac:dyDescent="0.25">
      <c r="A36" s="27"/>
      <c r="B36" s="14" t="str">
        <f>CONCATENATE("     ","Employees' Appreciation                           ")</f>
        <v xml:space="preserve">     Employees' Appreciation                           </v>
      </c>
      <c r="C36" s="14"/>
      <c r="D36" s="1">
        <f>SUM(OSRRefD22_3x_0)</f>
        <v>0</v>
      </c>
      <c r="E36" s="1"/>
      <c r="F36" s="5">
        <f t="shared" si="16"/>
        <v>0</v>
      </c>
      <c r="G36" s="1"/>
      <c r="H36" s="1">
        <f>SUM(OSRRefH22_3x_0)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4"/>
      <c r="P36" s="1">
        <f>SUM(OSRRefP22_3x_0)</f>
        <v>0</v>
      </c>
      <c r="Q36" s="1"/>
      <c r="R36" s="5">
        <f t="shared" si="20"/>
        <v>0</v>
      </c>
      <c r="S36" s="1"/>
      <c r="T36" s="1">
        <f>SUM(OSRRefT22_3x_0)</f>
        <v>81.56</v>
      </c>
      <c r="U36" s="1"/>
      <c r="V36" s="5">
        <f t="shared" si="21"/>
        <v>0</v>
      </c>
      <c r="W36" s="1"/>
      <c r="X36" s="1">
        <f t="shared" si="22"/>
        <v>-81.56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"6277", " - ", "EMPLOYEE APPRECIATION")</f>
        <v xml:space="preserve">          6277 - EMPLOYEE APPRECIATION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81.56</v>
      </c>
      <c r="U37" s="2"/>
      <c r="V37" s="7">
        <f t="shared" si="21"/>
        <v>0</v>
      </c>
      <c r="W37" s="2"/>
      <c r="X37" s="6">
        <f t="shared" si="22"/>
        <v>-81.56</v>
      </c>
      <c r="Y37" s="2"/>
      <c r="Z37" s="7">
        <f t="shared" si="23"/>
        <v>-1</v>
      </c>
    </row>
    <row r="38" spans="1:26" s="28" customFormat="1" outlineLevel="1" collapsed="1" x14ac:dyDescent="0.25">
      <c r="A38" s="27"/>
      <c r="B38" s="14" t="str">
        <f>CONCATENATE("     ","Freight out/Postage                               ")</f>
        <v xml:space="preserve">     Freight out/Postage                               </v>
      </c>
      <c r="C38" s="14"/>
      <c r="D38" s="1">
        <f>SUM(OSRRefD22_4x_0)</f>
        <v>41.38</v>
      </c>
      <c r="E38" s="1"/>
      <c r="F38" s="5">
        <f t="shared" si="16"/>
        <v>0</v>
      </c>
      <c r="G38" s="1"/>
      <c r="H38" s="1">
        <f>SUM(OSRRefH22_4x_0)</f>
        <v>21.75</v>
      </c>
      <c r="I38" s="1"/>
      <c r="J38" s="5">
        <f t="shared" si="17"/>
        <v>0</v>
      </c>
      <c r="K38" s="1"/>
      <c r="L38" s="1">
        <f t="shared" si="18"/>
        <v>19.630000000000003</v>
      </c>
      <c r="M38" s="1"/>
      <c r="N38" s="5">
        <f t="shared" si="19"/>
        <v>0.90252873563218405</v>
      </c>
      <c r="O38" s="14"/>
      <c r="P38" s="1">
        <f>SUM(OSRRefP22_4x_0)</f>
        <v>169.72</v>
      </c>
      <c r="Q38" s="1"/>
      <c r="R38" s="5">
        <f t="shared" si="20"/>
        <v>0</v>
      </c>
      <c r="S38" s="1"/>
      <c r="T38" s="1">
        <f>SUM(OSRRefT22_4x_0)</f>
        <v>73.55</v>
      </c>
      <c r="U38" s="1"/>
      <c r="V38" s="5">
        <f t="shared" si="21"/>
        <v>0</v>
      </c>
      <c r="W38" s="1"/>
      <c r="X38" s="1">
        <f t="shared" si="22"/>
        <v>96.17</v>
      </c>
      <c r="Y38" s="1"/>
      <c r="Z38" s="5">
        <f t="shared" si="23"/>
        <v>1.3075458871515977</v>
      </c>
    </row>
    <row r="39" spans="1:26" s="24" customFormat="1" hidden="1" outlineLevel="2" x14ac:dyDescent="0.25">
      <c r="A39" s="29"/>
      <c r="B39" s="11" t="str">
        <f>CONCATENATE("          ", "6307", " - ", "POSTAGE")</f>
        <v xml:space="preserve">          6307 - POSTAGE</v>
      </c>
      <c r="C39" s="11"/>
      <c r="D39" s="6">
        <v>41.38</v>
      </c>
      <c r="E39" s="2"/>
      <c r="F39" s="7">
        <f t="shared" si="16"/>
        <v>0</v>
      </c>
      <c r="G39" s="2"/>
      <c r="H39" s="6">
        <v>21.75</v>
      </c>
      <c r="I39" s="2"/>
      <c r="J39" s="7">
        <f t="shared" si="17"/>
        <v>0</v>
      </c>
      <c r="K39" s="2"/>
      <c r="L39" s="6">
        <f t="shared" si="18"/>
        <v>19.630000000000003</v>
      </c>
      <c r="M39" s="2"/>
      <c r="N39" s="7">
        <f t="shared" si="19"/>
        <v>0.90252873563218405</v>
      </c>
      <c r="O39" s="11"/>
      <c r="P39" s="6">
        <v>169.72</v>
      </c>
      <c r="Q39" s="2"/>
      <c r="R39" s="7">
        <f t="shared" si="20"/>
        <v>0</v>
      </c>
      <c r="S39" s="2"/>
      <c r="T39" s="6">
        <v>73.55</v>
      </c>
      <c r="U39" s="2"/>
      <c r="V39" s="7">
        <f t="shared" si="21"/>
        <v>0</v>
      </c>
      <c r="W39" s="2"/>
      <c r="X39" s="6">
        <f t="shared" si="22"/>
        <v>96.17</v>
      </c>
      <c r="Y39" s="2"/>
      <c r="Z39" s="7">
        <f t="shared" si="23"/>
        <v>1.3075458871515977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SUM(OSRRefD22_5x_0)</f>
        <v>188</v>
      </c>
      <c r="E40" s="1"/>
      <c r="F40" s="5">
        <f t="shared" si="16"/>
        <v>0</v>
      </c>
      <c r="G40" s="1"/>
      <c r="H40" s="1">
        <f>SUM(OSRRefH22_5x_0)</f>
        <v>0</v>
      </c>
      <c r="I40" s="1"/>
      <c r="J40" s="5">
        <f t="shared" si="17"/>
        <v>0</v>
      </c>
      <c r="K40" s="1"/>
      <c r="L40" s="1">
        <f t="shared" si="18"/>
        <v>188</v>
      </c>
      <c r="M40" s="1"/>
      <c r="N40" s="5">
        <f t="shared" si="19"/>
        <v>0</v>
      </c>
      <c r="O40" s="14"/>
      <c r="P40" s="1">
        <f>SUM(OSRRefP22_5x_0)</f>
        <v>2308.75</v>
      </c>
      <c r="Q40" s="1"/>
      <c r="R40" s="5">
        <f t="shared" si="20"/>
        <v>0</v>
      </c>
      <c r="S40" s="1"/>
      <c r="T40" s="1">
        <f>SUM(OSRRefT22_5x_0)</f>
        <v>166.54</v>
      </c>
      <c r="U40" s="1"/>
      <c r="V40" s="5">
        <f t="shared" si="21"/>
        <v>0</v>
      </c>
      <c r="W40" s="1"/>
      <c r="X40" s="1">
        <f t="shared" si="22"/>
        <v>2142.21</v>
      </c>
      <c r="Y40" s="1"/>
      <c r="Z40" s="5">
        <f t="shared" si="23"/>
        <v>12.863035907289541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6">
        <v>188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188</v>
      </c>
      <c r="M41" s="2"/>
      <c r="N41" s="7">
        <f t="shared" si="19"/>
        <v>0</v>
      </c>
      <c r="O41" s="11"/>
      <c r="P41" s="6">
        <v>2308.75</v>
      </c>
      <c r="Q41" s="2"/>
      <c r="R41" s="7">
        <f t="shared" si="20"/>
        <v>0</v>
      </c>
      <c r="S41" s="2"/>
      <c r="T41" s="6">
        <v>166.54</v>
      </c>
      <c r="U41" s="2"/>
      <c r="V41" s="7">
        <f t="shared" si="21"/>
        <v>0</v>
      </c>
      <c r="W41" s="2"/>
      <c r="X41" s="6">
        <f t="shared" si="22"/>
        <v>2142.21</v>
      </c>
      <c r="Y41" s="2"/>
      <c r="Z41" s="7">
        <f t="shared" si="23"/>
        <v>12.863035907289541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SUM(OSRRefD22_6x_0)</f>
        <v>88.99</v>
      </c>
      <c r="E42" s="1"/>
      <c r="F42" s="5">
        <f t="shared" si="16"/>
        <v>0</v>
      </c>
      <c r="G42" s="1"/>
      <c r="H42" s="1">
        <f>SUM(OSRRefH22_6x_0)</f>
        <v>65.47</v>
      </c>
      <c r="I42" s="1"/>
      <c r="J42" s="5">
        <f t="shared" si="17"/>
        <v>0</v>
      </c>
      <c r="K42" s="1"/>
      <c r="L42" s="1">
        <f t="shared" si="18"/>
        <v>23.519999999999996</v>
      </c>
      <c r="M42" s="1"/>
      <c r="N42" s="5">
        <f t="shared" si="19"/>
        <v>0.35924851076829079</v>
      </c>
      <c r="O42" s="14"/>
      <c r="P42" s="1">
        <f>SUM(OSRRefP22_6x_0)</f>
        <v>355.96</v>
      </c>
      <c r="Q42" s="1"/>
      <c r="R42" s="5">
        <f t="shared" si="20"/>
        <v>0</v>
      </c>
      <c r="S42" s="1"/>
      <c r="T42" s="1">
        <f>SUM(OSRRefT22_6x_0)</f>
        <v>261.88</v>
      </c>
      <c r="U42" s="1"/>
      <c r="V42" s="5">
        <f t="shared" si="21"/>
        <v>0</v>
      </c>
      <c r="W42" s="1"/>
      <c r="X42" s="1">
        <f t="shared" si="22"/>
        <v>94.079999999999984</v>
      </c>
      <c r="Y42" s="1"/>
      <c r="Z42" s="5">
        <f t="shared" si="23"/>
        <v>0.35924851076829079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6">
        <v>88.99</v>
      </c>
      <c r="E43" s="2"/>
      <c r="F43" s="7">
        <f t="shared" si="16"/>
        <v>0</v>
      </c>
      <c r="G43" s="2"/>
      <c r="H43" s="6">
        <v>65.47</v>
      </c>
      <c r="I43" s="2"/>
      <c r="J43" s="7">
        <f t="shared" si="17"/>
        <v>0</v>
      </c>
      <c r="K43" s="2"/>
      <c r="L43" s="6">
        <f t="shared" si="18"/>
        <v>23.519999999999996</v>
      </c>
      <c r="M43" s="2"/>
      <c r="N43" s="7">
        <f t="shared" si="19"/>
        <v>0.35924851076829079</v>
      </c>
      <c r="O43" s="11"/>
      <c r="P43" s="6">
        <v>355.96</v>
      </c>
      <c r="Q43" s="2"/>
      <c r="R43" s="7">
        <f t="shared" si="20"/>
        <v>0</v>
      </c>
      <c r="S43" s="2"/>
      <c r="T43" s="6">
        <v>261.88</v>
      </c>
      <c r="U43" s="2"/>
      <c r="V43" s="7">
        <f t="shared" si="21"/>
        <v>0</v>
      </c>
      <c r="W43" s="2"/>
      <c r="X43" s="6">
        <f t="shared" si="22"/>
        <v>94.079999999999984</v>
      </c>
      <c r="Y43" s="2"/>
      <c r="Z43" s="7">
        <f t="shared" si="23"/>
        <v>0.35924851076829079</v>
      </c>
    </row>
    <row r="44" spans="1:26" s="28" customFormat="1" outlineLevel="1" collapsed="1" x14ac:dyDescent="0.25">
      <c r="A44" s="27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SUM(OSRRefD22_7x_0)</f>
        <v>3410.52</v>
      </c>
      <c r="E44" s="1"/>
      <c r="F44" s="5">
        <f t="shared" si="16"/>
        <v>0</v>
      </c>
      <c r="G44" s="1"/>
      <c r="H44" s="1">
        <f>SUM(OSRRefH22_7x_0)</f>
        <v>2089.9499999999998</v>
      </c>
      <c r="I44" s="1"/>
      <c r="J44" s="5">
        <f t="shared" si="17"/>
        <v>0</v>
      </c>
      <c r="K44" s="1"/>
      <c r="L44" s="1">
        <f t="shared" si="18"/>
        <v>1320.5700000000002</v>
      </c>
      <c r="M44" s="1"/>
      <c r="N44" s="5">
        <f t="shared" si="19"/>
        <v>0.63186679107155685</v>
      </c>
      <c r="O44" s="14"/>
      <c r="P44" s="1">
        <f>SUM(OSRRefP22_7x_0)</f>
        <v>9614.369999999999</v>
      </c>
      <c r="Q44" s="1"/>
      <c r="R44" s="5">
        <f t="shared" si="20"/>
        <v>0</v>
      </c>
      <c r="S44" s="1"/>
      <c r="T44" s="1">
        <f>SUM(OSRRefT22_7x_0)</f>
        <v>4671.21</v>
      </c>
      <c r="U44" s="1"/>
      <c r="V44" s="5">
        <f t="shared" si="21"/>
        <v>0</v>
      </c>
      <c r="W44" s="1"/>
      <c r="X44" s="1">
        <f t="shared" si="22"/>
        <v>4943.1599999999989</v>
      </c>
      <c r="Y44" s="1"/>
      <c r="Z44" s="5">
        <f t="shared" si="23"/>
        <v>1.0582183203067297</v>
      </c>
    </row>
    <row r="45" spans="1:26" s="24" customFormat="1" hidden="1" outlineLevel="2" x14ac:dyDescent="0.25">
      <c r="A45" s="29"/>
      <c r="B45" s="11" t="str">
        <f>CONCATENATE("          ", "6334", " - ", "LEGAL COUNCIL EXPENSE")</f>
        <v xml:space="preserve">          6334 - LEGAL COUNCIL EXPENSE</v>
      </c>
      <c r="C45" s="11"/>
      <c r="D45" s="6"/>
      <c r="E45" s="2"/>
      <c r="F45" s="7">
        <f t="shared" si="16"/>
        <v>0</v>
      </c>
      <c r="G45" s="2"/>
      <c r="H45" s="6">
        <v>385</v>
      </c>
      <c r="I45" s="2"/>
      <c r="J45" s="7">
        <f t="shared" si="17"/>
        <v>0</v>
      </c>
      <c r="K45" s="2"/>
      <c r="L45" s="6">
        <f t="shared" si="18"/>
        <v>-385</v>
      </c>
      <c r="M45" s="2"/>
      <c r="N45" s="7">
        <f t="shared" si="19"/>
        <v>-1</v>
      </c>
      <c r="O45" s="11"/>
      <c r="P45" s="6">
        <v>3255</v>
      </c>
      <c r="Q45" s="2"/>
      <c r="R45" s="7">
        <f t="shared" si="20"/>
        <v>0</v>
      </c>
      <c r="S45" s="2"/>
      <c r="T45" s="6">
        <v>385</v>
      </c>
      <c r="U45" s="2"/>
      <c r="V45" s="7">
        <f t="shared" si="21"/>
        <v>0</v>
      </c>
      <c r="W45" s="2"/>
      <c r="X45" s="6">
        <f t="shared" si="22"/>
        <v>2870</v>
      </c>
      <c r="Y45" s="2"/>
      <c r="Z45" s="7">
        <f t="shared" si="23"/>
        <v>7.4545454545454541</v>
      </c>
    </row>
    <row r="46" spans="1:26" s="24" customFormat="1" hidden="1" outlineLevel="2" x14ac:dyDescent="0.25">
      <c r="A46" s="29"/>
      <c r="B46" s="11" t="str">
        <f>CONCATENATE("          ", "6336", " - ", "PROFESSIONAL SERVICES")</f>
        <v xml:space="preserve">          6336 - PROFESSIONAL SERVICES</v>
      </c>
      <c r="C46" s="11"/>
      <c r="D46" s="6">
        <v>3410.52</v>
      </c>
      <c r="E46" s="2"/>
      <c r="F46" s="7">
        <f t="shared" si="16"/>
        <v>0</v>
      </c>
      <c r="G46" s="2"/>
      <c r="H46" s="6">
        <v>1704.95</v>
      </c>
      <c r="I46" s="2"/>
      <c r="J46" s="7">
        <f t="shared" si="17"/>
        <v>0</v>
      </c>
      <c r="K46" s="2"/>
      <c r="L46" s="6">
        <f t="shared" si="18"/>
        <v>1705.57</v>
      </c>
      <c r="M46" s="2"/>
      <c r="N46" s="7">
        <f t="shared" si="19"/>
        <v>1.0003636470277719</v>
      </c>
      <c r="O46" s="11"/>
      <c r="P46" s="6">
        <v>6359.37</v>
      </c>
      <c r="Q46" s="2"/>
      <c r="R46" s="7">
        <f t="shared" si="20"/>
        <v>0</v>
      </c>
      <c r="S46" s="2"/>
      <c r="T46" s="6">
        <v>4286.21</v>
      </c>
      <c r="U46" s="2"/>
      <c r="V46" s="7">
        <f t="shared" si="21"/>
        <v>0</v>
      </c>
      <c r="W46" s="2"/>
      <c r="X46" s="6">
        <f t="shared" si="22"/>
        <v>2073.16</v>
      </c>
      <c r="Y46" s="2"/>
      <c r="Z46" s="7">
        <f t="shared" si="23"/>
        <v>0.48368138751951023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SUM(OSRRefD22_8x_0)</f>
        <v>5962.94</v>
      </c>
      <c r="E47" s="1"/>
      <c r="F47" s="5">
        <f t="shared" ref="F47:F49" si="24">IF(D$12=0,0,D47/D$12)</f>
        <v>0</v>
      </c>
      <c r="G47" s="1"/>
      <c r="H47" s="1">
        <f>SUM(OSRRefH22_8x_0)</f>
        <v>4183.1499999999996</v>
      </c>
      <c r="I47" s="1"/>
      <c r="J47" s="5">
        <f t="shared" ref="J47:J49" si="25">IF(H$12=0,0,H47/H$12)</f>
        <v>0</v>
      </c>
      <c r="K47" s="1"/>
      <c r="L47" s="1">
        <f t="shared" ref="L47:L49" si="26">+D47-H47</f>
        <v>1779.79</v>
      </c>
      <c r="M47" s="1"/>
      <c r="N47" s="5">
        <f t="shared" ref="N47:N49" si="27">IF(H47=0,0,L47/H47)</f>
        <v>0.42546645470518629</v>
      </c>
      <c r="O47" s="14"/>
      <c r="P47" s="1">
        <f>SUM(OSRRefP22_8x_0)</f>
        <v>19756.080000000002</v>
      </c>
      <c r="Q47" s="1"/>
      <c r="R47" s="5">
        <f t="shared" ref="R47:R49" si="28">IF(P$12=0,0,P47/P$12)</f>
        <v>0</v>
      </c>
      <c r="S47" s="1"/>
      <c r="T47" s="1">
        <f>SUM(OSRRefT22_8x_0)</f>
        <v>15938.06</v>
      </c>
      <c r="U47" s="1"/>
      <c r="V47" s="5">
        <f t="shared" ref="V47:V49" si="29">IF(T$12=0,0,T47/T$12)</f>
        <v>0</v>
      </c>
      <c r="W47" s="1"/>
      <c r="X47" s="1">
        <f t="shared" ref="X47:X49" si="30">+P47-T47</f>
        <v>3818.0200000000023</v>
      </c>
      <c r="Y47" s="1"/>
      <c r="Z47" s="5">
        <f t="shared" ref="Z47:Z49" si="31">IF(T47=0,0,X47/T47)</f>
        <v>0.23955362195900895</v>
      </c>
    </row>
    <row r="48" spans="1:26" s="24" customFormat="1" hidden="1" outlineLevel="2" x14ac:dyDescent="0.25">
      <c r="A48" s="29"/>
      <c r="B48" s="11" t="str">
        <f>CONCATENATE("          ", "6371", " - ", "COMPUTER SOFTWARE MAINTENANCE")</f>
        <v xml:space="preserve">          6371 - COMPUTER SOFTWARE MAINTENANCE</v>
      </c>
      <c r="C48" s="11"/>
      <c r="D48" s="6">
        <v>5962.94</v>
      </c>
      <c r="E48" s="2"/>
      <c r="F48" s="7">
        <f t="shared" si="24"/>
        <v>0</v>
      </c>
      <c r="G48" s="2"/>
      <c r="H48" s="6">
        <v>4183.1499999999996</v>
      </c>
      <c r="I48" s="2"/>
      <c r="J48" s="7">
        <f t="shared" si="25"/>
        <v>0</v>
      </c>
      <c r="K48" s="2"/>
      <c r="L48" s="6">
        <f t="shared" si="26"/>
        <v>1779.79</v>
      </c>
      <c r="M48" s="2"/>
      <c r="N48" s="7">
        <f t="shared" si="27"/>
        <v>0.42546645470518629</v>
      </c>
      <c r="O48" s="11"/>
      <c r="P48" s="6">
        <v>19657.490000000002</v>
      </c>
      <c r="Q48" s="2"/>
      <c r="R48" s="7">
        <f t="shared" si="28"/>
        <v>0</v>
      </c>
      <c r="S48" s="2"/>
      <c r="T48" s="6">
        <v>15938.06</v>
      </c>
      <c r="U48" s="2"/>
      <c r="V48" s="7">
        <f t="shared" si="29"/>
        <v>0</v>
      </c>
      <c r="W48" s="2"/>
      <c r="X48" s="6">
        <f t="shared" si="30"/>
        <v>3719.4300000000021</v>
      </c>
      <c r="Y48" s="2"/>
      <c r="Z48" s="7">
        <f t="shared" si="31"/>
        <v>0.23336780009612226</v>
      </c>
    </row>
    <row r="49" spans="1:26" s="24" customFormat="1" hidden="1" outlineLevel="2" x14ac:dyDescent="0.25">
      <c r="A49" s="29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>
        <v>98.59</v>
      </c>
      <c r="Q49" s="2"/>
      <c r="R49" s="7">
        <f t="shared" si="28"/>
        <v>0</v>
      </c>
      <c r="S49" s="2"/>
      <c r="T49" s="6"/>
      <c r="U49" s="2"/>
      <c r="V49" s="7">
        <f t="shared" si="29"/>
        <v>0</v>
      </c>
      <c r="W49" s="2"/>
      <c r="X49" s="6">
        <f t="shared" si="30"/>
        <v>98.59</v>
      </c>
      <c r="Y49" s="2"/>
      <c r="Z49" s="7">
        <f t="shared" si="31"/>
        <v>0</v>
      </c>
    </row>
    <row r="50" spans="1:26" s="28" customFormat="1" outlineLevel="1" collapsed="1" x14ac:dyDescent="0.25">
      <c r="A50" s="27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SUM(OSRRefD22_9x_0)</f>
        <v>438</v>
      </c>
      <c r="E50" s="1"/>
      <c r="F50" s="5">
        <f t="shared" ref="F50:F56" si="32">IF(D$12=0,0,D50/D$12)</f>
        <v>0</v>
      </c>
      <c r="G50" s="1"/>
      <c r="H50" s="1">
        <f>SUM(OSRRefH22_9x_0)</f>
        <v>534.99</v>
      </c>
      <c r="I50" s="1"/>
      <c r="J50" s="5">
        <f t="shared" ref="J50:J56" si="33">IF(H$12=0,0,H50/H$12)</f>
        <v>0</v>
      </c>
      <c r="K50" s="1"/>
      <c r="L50" s="1">
        <f t="shared" ref="L50:L56" si="34">+D50-H50</f>
        <v>-96.990000000000009</v>
      </c>
      <c r="M50" s="1"/>
      <c r="N50" s="5">
        <f t="shared" ref="N50:N56" si="35">IF(H50=0,0,L50/H50)</f>
        <v>-0.18129310828239781</v>
      </c>
      <c r="O50" s="14"/>
      <c r="P50" s="1">
        <f>SUM(OSRRefP22_9x_0)</f>
        <v>657</v>
      </c>
      <c r="Q50" s="1"/>
      <c r="R50" s="5">
        <f t="shared" ref="R50:R56" si="36">IF(P$12=0,0,P50/P$12)</f>
        <v>0</v>
      </c>
      <c r="S50" s="1"/>
      <c r="T50" s="1">
        <f>SUM(OSRRefT22_9x_0)</f>
        <v>534.99</v>
      </c>
      <c r="U50" s="1"/>
      <c r="V50" s="5">
        <f t="shared" ref="V50:V56" si="37">IF(T$12=0,0,T50/T$12)</f>
        <v>0</v>
      </c>
      <c r="W50" s="1"/>
      <c r="X50" s="1">
        <f t="shared" ref="X50:X56" si="38">+P50-T50</f>
        <v>122.00999999999999</v>
      </c>
      <c r="Y50" s="1"/>
      <c r="Z50" s="5">
        <f t="shared" ref="Z50:Z56" si="39">IF(T50=0,0,X50/T50)</f>
        <v>0.22806033757640329</v>
      </c>
    </row>
    <row r="51" spans="1:26" s="24" customFormat="1" hidden="1" outlineLevel="2" x14ac:dyDescent="0.25">
      <c r="A51" s="29"/>
      <c r="B51" s="11" t="str">
        <f>CONCATENATE("          ", "6258", " - ", "MEMBERSHIP DUES")</f>
        <v xml:space="preserve">          6258 - MEMBERSHIP DUES</v>
      </c>
      <c r="C51" s="11"/>
      <c r="D51" s="6">
        <v>438</v>
      </c>
      <c r="E51" s="2"/>
      <c r="F51" s="7">
        <f t="shared" si="32"/>
        <v>0</v>
      </c>
      <c r="G51" s="2"/>
      <c r="H51" s="6">
        <v>534.99</v>
      </c>
      <c r="I51" s="2"/>
      <c r="J51" s="7">
        <f t="shared" si="33"/>
        <v>0</v>
      </c>
      <c r="K51" s="2"/>
      <c r="L51" s="6">
        <f t="shared" si="34"/>
        <v>-96.990000000000009</v>
      </c>
      <c r="M51" s="2"/>
      <c r="N51" s="7">
        <f t="shared" si="35"/>
        <v>-0.18129310828239781</v>
      </c>
      <c r="O51" s="11"/>
      <c r="P51" s="6">
        <v>657</v>
      </c>
      <c r="Q51" s="2"/>
      <c r="R51" s="7">
        <f t="shared" si="36"/>
        <v>0</v>
      </c>
      <c r="S51" s="2"/>
      <c r="T51" s="6">
        <v>534.99</v>
      </c>
      <c r="U51" s="2"/>
      <c r="V51" s="7">
        <f t="shared" si="37"/>
        <v>0</v>
      </c>
      <c r="W51" s="2"/>
      <c r="X51" s="6">
        <f t="shared" si="38"/>
        <v>122.00999999999999</v>
      </c>
      <c r="Y51" s="2"/>
      <c r="Z51" s="7">
        <f t="shared" si="39"/>
        <v>0.22806033757640329</v>
      </c>
    </row>
    <row r="52" spans="1:26" s="28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SUM(OSRRefD22_10x_0)</f>
        <v>1896.1100000000001</v>
      </c>
      <c r="E52" s="1"/>
      <c r="F52" s="5">
        <f t="shared" si="32"/>
        <v>0</v>
      </c>
      <c r="G52" s="1"/>
      <c r="H52" s="1">
        <f>SUM(OSRRefH22_10x_0)</f>
        <v>233.07</v>
      </c>
      <c r="I52" s="1"/>
      <c r="J52" s="5">
        <f t="shared" si="33"/>
        <v>0</v>
      </c>
      <c r="K52" s="1"/>
      <c r="L52" s="1">
        <f t="shared" si="34"/>
        <v>1663.0400000000002</v>
      </c>
      <c r="M52" s="1"/>
      <c r="N52" s="5">
        <f t="shared" si="35"/>
        <v>7.1353670571073078</v>
      </c>
      <c r="O52" s="14"/>
      <c r="P52" s="1">
        <f>SUM(OSRRefP22_10x_0)</f>
        <v>6735.29</v>
      </c>
      <c r="Q52" s="1"/>
      <c r="R52" s="5">
        <f t="shared" si="36"/>
        <v>0</v>
      </c>
      <c r="S52" s="1"/>
      <c r="T52" s="1">
        <f>SUM(OSRRefT22_10x_0)</f>
        <v>1340.28</v>
      </c>
      <c r="U52" s="1"/>
      <c r="V52" s="5">
        <f t="shared" si="37"/>
        <v>0</v>
      </c>
      <c r="W52" s="1"/>
      <c r="X52" s="1">
        <f t="shared" si="38"/>
        <v>5395.01</v>
      </c>
      <c r="Y52" s="1"/>
      <c r="Z52" s="5">
        <f t="shared" si="39"/>
        <v>4.0252857611842305</v>
      </c>
    </row>
    <row r="53" spans="1:26" s="24" customFormat="1" hidden="1" outlineLevel="2" x14ac:dyDescent="0.25">
      <c r="A53" s="29"/>
      <c r="B53" s="11" t="str">
        <f>CONCATENATE("          ", "6235", " - ", "COVID-19 EXPENSES")</f>
        <v xml:space="preserve">          6235 - COVID-19 EXPENSES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>
        <v>2447.77</v>
      </c>
      <c r="Q53" s="2"/>
      <c r="R53" s="7">
        <f t="shared" si="36"/>
        <v>0</v>
      </c>
      <c r="S53" s="2"/>
      <c r="T53" s="6">
        <v>210.58</v>
      </c>
      <c r="U53" s="2"/>
      <c r="V53" s="7">
        <f t="shared" si="37"/>
        <v>0</v>
      </c>
      <c r="W53" s="2"/>
      <c r="X53" s="6">
        <f t="shared" si="38"/>
        <v>2237.19</v>
      </c>
      <c r="Y53" s="2"/>
      <c r="Z53" s="7">
        <f t="shared" si="39"/>
        <v>10.623943394434418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6">
        <v>148.11000000000001</v>
      </c>
      <c r="E54" s="2"/>
      <c r="F54" s="7">
        <f t="shared" si="32"/>
        <v>0</v>
      </c>
      <c r="G54" s="2"/>
      <c r="H54" s="6">
        <v>208.07</v>
      </c>
      <c r="I54" s="2"/>
      <c r="J54" s="7">
        <f t="shared" si="33"/>
        <v>0</v>
      </c>
      <c r="K54" s="2"/>
      <c r="L54" s="6">
        <f t="shared" si="34"/>
        <v>-59.95999999999998</v>
      </c>
      <c r="M54" s="2"/>
      <c r="N54" s="7">
        <f t="shared" si="35"/>
        <v>-0.28817224972365063</v>
      </c>
      <c r="O54" s="11"/>
      <c r="P54" s="6">
        <v>952.83</v>
      </c>
      <c r="Q54" s="2"/>
      <c r="R54" s="7">
        <f t="shared" si="36"/>
        <v>0</v>
      </c>
      <c r="S54" s="2"/>
      <c r="T54" s="6">
        <v>906.99</v>
      </c>
      <c r="U54" s="2"/>
      <c r="V54" s="7">
        <f t="shared" si="37"/>
        <v>0</v>
      </c>
      <c r="W54" s="2"/>
      <c r="X54" s="6">
        <f t="shared" si="38"/>
        <v>45.840000000000032</v>
      </c>
      <c r="Y54" s="2"/>
      <c r="Z54" s="7">
        <f t="shared" si="39"/>
        <v>5.0540799788310824E-2</v>
      </c>
    </row>
    <row r="55" spans="1:26" s="24" customFormat="1" hidden="1" outlineLevel="2" x14ac:dyDescent="0.25">
      <c r="A55" s="29"/>
      <c r="B55" s="11" t="str">
        <f>CONCATENATE("          ", "6244", " - ", "SAFETY SUPPLY EXPENSE")</f>
        <v xml:space="preserve">          6244 - SAFETY SUPPLY EXPENSE</v>
      </c>
      <c r="C55" s="11"/>
      <c r="D55" s="6">
        <v>175</v>
      </c>
      <c r="E55" s="2"/>
      <c r="F55" s="7">
        <f t="shared" si="32"/>
        <v>0</v>
      </c>
      <c r="G55" s="2"/>
      <c r="H55" s="6">
        <v>25</v>
      </c>
      <c r="I55" s="2"/>
      <c r="J55" s="7">
        <f t="shared" si="33"/>
        <v>0</v>
      </c>
      <c r="K55" s="2"/>
      <c r="L55" s="6">
        <f t="shared" si="34"/>
        <v>150</v>
      </c>
      <c r="M55" s="2"/>
      <c r="N55" s="7">
        <f t="shared" si="35"/>
        <v>6</v>
      </c>
      <c r="O55" s="11"/>
      <c r="P55" s="6">
        <v>550</v>
      </c>
      <c r="Q55" s="2"/>
      <c r="R55" s="7">
        <f t="shared" si="36"/>
        <v>0</v>
      </c>
      <c r="S55" s="2"/>
      <c r="T55" s="6">
        <v>222.71</v>
      </c>
      <c r="U55" s="2"/>
      <c r="V55" s="7">
        <f t="shared" si="37"/>
        <v>0</v>
      </c>
      <c r="W55" s="2"/>
      <c r="X55" s="6">
        <f t="shared" si="38"/>
        <v>327.28999999999996</v>
      </c>
      <c r="Y55" s="2"/>
      <c r="Z55" s="7">
        <f t="shared" si="39"/>
        <v>1.4695792734946789</v>
      </c>
    </row>
    <row r="56" spans="1:26" s="24" customFormat="1" hidden="1" outlineLevel="2" x14ac:dyDescent="0.25">
      <c r="A56" s="29"/>
      <c r="B56" s="11" t="str">
        <f>CONCATENATE("          ", "6248", " - ", "UNIFORMS")</f>
        <v xml:space="preserve">          6248 - UNIFORMS</v>
      </c>
      <c r="C56" s="11"/>
      <c r="D56" s="6">
        <v>1573</v>
      </c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1573</v>
      </c>
      <c r="M56" s="2"/>
      <c r="N56" s="7">
        <f t="shared" si="35"/>
        <v>0</v>
      </c>
      <c r="O56" s="11"/>
      <c r="P56" s="6">
        <v>2784.69</v>
      </c>
      <c r="Q56" s="2"/>
      <c r="R56" s="7">
        <f t="shared" si="36"/>
        <v>0</v>
      </c>
      <c r="S56" s="2"/>
      <c r="T56" s="6"/>
      <c r="U56" s="2"/>
      <c r="V56" s="7">
        <f t="shared" si="37"/>
        <v>0</v>
      </c>
      <c r="W56" s="2"/>
      <c r="X56" s="6">
        <f t="shared" si="38"/>
        <v>2784.69</v>
      </c>
      <c r="Y56" s="2"/>
      <c r="Z56" s="7">
        <f t="shared" si="39"/>
        <v>0</v>
      </c>
    </row>
    <row r="57" spans="1:26" s="28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SUM(OSRRefD22_11x_0)</f>
        <v>892.75</v>
      </c>
      <c r="E57" s="1"/>
      <c r="F57" s="5">
        <f t="shared" ref="F57:F60" si="40">IF(D$12=0,0,D57/D$12)</f>
        <v>0</v>
      </c>
      <c r="G57" s="1"/>
      <c r="H57" s="1">
        <f>SUM(OSRRefH22_11x_0)</f>
        <v>320.95</v>
      </c>
      <c r="I57" s="1"/>
      <c r="J57" s="5">
        <f t="shared" ref="J57:J60" si="41">IF(H$12=0,0,H57/H$12)</f>
        <v>0</v>
      </c>
      <c r="K57" s="1"/>
      <c r="L57" s="1">
        <f t="shared" ref="L57:L60" si="42">+D57-H57</f>
        <v>571.79999999999995</v>
      </c>
      <c r="M57" s="1"/>
      <c r="N57" s="5">
        <f t="shared" ref="N57:N60" si="43">IF(H57=0,0,L57/H57)</f>
        <v>1.7815859168094719</v>
      </c>
      <c r="O57" s="14"/>
      <c r="P57" s="1">
        <f>SUM(OSRRefP22_11x_0)</f>
        <v>1960.05</v>
      </c>
      <c r="Q57" s="1"/>
      <c r="R57" s="5">
        <f t="shared" ref="R57:R60" si="44">IF(P$12=0,0,P57/P$12)</f>
        <v>0</v>
      </c>
      <c r="S57" s="1"/>
      <c r="T57" s="1">
        <f>SUM(OSRRefT22_11x_0)</f>
        <v>1324.35</v>
      </c>
      <c r="U57" s="1"/>
      <c r="V57" s="5">
        <f t="shared" ref="V57:V60" si="45">IF(T$12=0,0,T57/T$12)</f>
        <v>0</v>
      </c>
      <c r="W57" s="1"/>
      <c r="X57" s="1">
        <f t="shared" ref="X57:X60" si="46">+P57-T57</f>
        <v>635.70000000000005</v>
      </c>
      <c r="Y57" s="1"/>
      <c r="Z57" s="5">
        <f t="shared" ref="Z57:Z60" si="47">IF(T57=0,0,X57/T57)</f>
        <v>0.48000906104881647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6">
        <v>892.75</v>
      </c>
      <c r="E58" s="2"/>
      <c r="F58" s="7">
        <f t="shared" si="40"/>
        <v>0</v>
      </c>
      <c r="G58" s="2"/>
      <c r="H58" s="6">
        <v>320.95</v>
      </c>
      <c r="I58" s="2"/>
      <c r="J58" s="7">
        <f t="shared" si="41"/>
        <v>0</v>
      </c>
      <c r="K58" s="2"/>
      <c r="L58" s="6">
        <f t="shared" si="42"/>
        <v>571.79999999999995</v>
      </c>
      <c r="M58" s="2"/>
      <c r="N58" s="7">
        <f t="shared" si="43"/>
        <v>1.7815859168094719</v>
      </c>
      <c r="O58" s="11"/>
      <c r="P58" s="6">
        <v>1960.05</v>
      </c>
      <c r="Q58" s="2"/>
      <c r="R58" s="7">
        <f t="shared" si="44"/>
        <v>0</v>
      </c>
      <c r="S58" s="2"/>
      <c r="T58" s="6">
        <v>1324.35</v>
      </c>
      <c r="U58" s="2"/>
      <c r="V58" s="7">
        <f t="shared" si="45"/>
        <v>0</v>
      </c>
      <c r="W58" s="2"/>
      <c r="X58" s="6">
        <f t="shared" si="46"/>
        <v>635.70000000000005</v>
      </c>
      <c r="Y58" s="2"/>
      <c r="Z58" s="7">
        <f t="shared" si="47"/>
        <v>0.48000906104881647</v>
      </c>
    </row>
    <row r="59" spans="1:26" s="28" customFormat="1" outlineLevel="1" collapsed="1" x14ac:dyDescent="0.25">
      <c r="A59" s="27"/>
      <c r="B59" s="14" t="str">
        <f>CONCATENATE("     ","Training                                          ")</f>
        <v xml:space="preserve">     Training                                          </v>
      </c>
      <c r="C59" s="14"/>
      <c r="D59" s="1">
        <f>SUM(OSRRefD22_12x_0)</f>
        <v>475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475</v>
      </c>
      <c r="M59" s="1"/>
      <c r="N59" s="5">
        <f t="shared" si="43"/>
        <v>0</v>
      </c>
      <c r="O59" s="14"/>
      <c r="P59" s="1">
        <f>SUM(OSRRefP22_12x_0)</f>
        <v>475</v>
      </c>
      <c r="Q59" s="1"/>
      <c r="R59" s="5">
        <f t="shared" si="44"/>
        <v>0</v>
      </c>
      <c r="S59" s="1"/>
      <c r="T59" s="1">
        <f>SUM(OSRRefT22_12x_0)</f>
        <v>-97</v>
      </c>
      <c r="U59" s="1"/>
      <c r="V59" s="5">
        <f t="shared" si="45"/>
        <v>0</v>
      </c>
      <c r="W59" s="1"/>
      <c r="X59" s="1">
        <f t="shared" si="46"/>
        <v>572</v>
      </c>
      <c r="Y59" s="1"/>
      <c r="Z59" s="5">
        <f t="shared" si="47"/>
        <v>-5.8969072164948457</v>
      </c>
    </row>
    <row r="60" spans="1:26" s="24" customFormat="1" hidden="1" outlineLevel="2" x14ac:dyDescent="0.25">
      <c r="A60" s="29"/>
      <c r="B60" s="11" t="str">
        <f>CONCATENATE("          ", "6376", " - ", "TRAINING")</f>
        <v xml:space="preserve">          6376 - TRAINING</v>
      </c>
      <c r="C60" s="11"/>
      <c r="D60" s="6">
        <v>475</v>
      </c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475</v>
      </c>
      <c r="M60" s="2"/>
      <c r="N60" s="7">
        <f t="shared" si="43"/>
        <v>0</v>
      </c>
      <c r="O60" s="11"/>
      <c r="P60" s="6">
        <v>475</v>
      </c>
      <c r="Q60" s="2"/>
      <c r="R60" s="7">
        <f t="shared" si="44"/>
        <v>0</v>
      </c>
      <c r="S60" s="2"/>
      <c r="T60" s="6">
        <v>-97</v>
      </c>
      <c r="U60" s="2"/>
      <c r="V60" s="7">
        <f t="shared" si="45"/>
        <v>0</v>
      </c>
      <c r="W60" s="2"/>
      <c r="X60" s="6">
        <f t="shared" si="46"/>
        <v>572</v>
      </c>
      <c r="Y60" s="2"/>
      <c r="Z60" s="7">
        <f t="shared" si="47"/>
        <v>-5.8969072164948457</v>
      </c>
    </row>
    <row r="61" spans="1:26" s="56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5" t="s">
        <v>292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6" t="s">
        <v>276</v>
      </c>
      <c r="C64" s="26"/>
      <c r="D64" s="22">
        <f>+D16-D18+D62</f>
        <v>-63484.42</v>
      </c>
      <c r="E64" s="13"/>
      <c r="F64" s="20">
        <f>IF(D$12=0,0,D64/D$12)</f>
        <v>0</v>
      </c>
      <c r="G64" s="13"/>
      <c r="H64" s="22">
        <f>+H16-H18+H62</f>
        <v>-53720.339999999989</v>
      </c>
      <c r="I64" s="13"/>
      <c r="J64" s="20">
        <f>IF(H$12=0,0,H64/H$12)</f>
        <v>0</v>
      </c>
      <c r="K64" s="15"/>
      <c r="L64" s="22">
        <f>+D64-H64</f>
        <v>-9764.080000000009</v>
      </c>
      <c r="M64" s="15"/>
      <c r="N64" s="20">
        <f>IF(H64=0,0,L64/H64)</f>
        <v>0.1817575987046994</v>
      </c>
      <c r="O64" s="25"/>
      <c r="P64" s="22">
        <f>+P16-P18+P62</f>
        <v>-217212.36999999994</v>
      </c>
      <c r="Q64" s="13"/>
      <c r="R64" s="20">
        <f>IF(P$12=0,0,P64/P$12)</f>
        <v>0</v>
      </c>
      <c r="S64" s="13"/>
      <c r="T64" s="22">
        <f>+T16-T18+T62</f>
        <v>-188699.37999999998</v>
      </c>
      <c r="U64" s="13"/>
      <c r="V64" s="20">
        <f>IF(T$12=0,0,T64/T$12)</f>
        <v>0</v>
      </c>
      <c r="W64" s="15"/>
      <c r="X64" s="22">
        <f>+P64-T64</f>
        <v>-28512.989999999962</v>
      </c>
      <c r="Y64" s="15"/>
      <c r="Z64" s="20">
        <f>IF(T64=0,0,X64/T64)</f>
        <v>0.1511027222241004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127</v>
      </c>
      <c r="C66" s="10"/>
      <c r="D66" s="4"/>
      <c r="E66" s="4"/>
      <c r="F66" s="12">
        <f>IF(D$12=0,0,D66/D$12)</f>
        <v>0</v>
      </c>
      <c r="G66" s="4"/>
      <c r="H66" s="4"/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/>
      <c r="Q66" s="4"/>
      <c r="R66" s="12">
        <f>IF(P$12=0,0,P66/P$12)</f>
        <v>0</v>
      </c>
      <c r="S66" s="4"/>
      <c r="T66" s="4"/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125</v>
      </c>
      <c r="C68" s="26"/>
      <c r="D68" s="33">
        <f>+D64-D66</f>
        <v>-63484.42</v>
      </c>
      <c r="E68" s="13"/>
      <c r="F68" s="31">
        <f>IF(D$12=0,0,D68/D$12)</f>
        <v>0</v>
      </c>
      <c r="G68" s="13"/>
      <c r="H68" s="33">
        <f>+H64-H66</f>
        <v>-53720.339999999989</v>
      </c>
      <c r="I68" s="13"/>
      <c r="J68" s="31">
        <f>IF(H$12=0,0,H68/H$12)</f>
        <v>0</v>
      </c>
      <c r="K68" s="15"/>
      <c r="L68" s="33">
        <f>D68-H68</f>
        <v>-9764.080000000009</v>
      </c>
      <c r="M68" s="15"/>
      <c r="N68" s="31">
        <f>IF(H68=0,0,L68/H68)</f>
        <v>0.1817575987046994</v>
      </c>
      <c r="O68" s="25"/>
      <c r="P68" s="33">
        <f>+P64-P66</f>
        <v>-217212.36999999994</v>
      </c>
      <c r="Q68" s="13"/>
      <c r="R68" s="31">
        <f>IF(P$12=0,0,P68/P$12)</f>
        <v>0</v>
      </c>
      <c r="S68" s="13"/>
      <c r="T68" s="33">
        <f>+T64-T66</f>
        <v>-188699.37999999998</v>
      </c>
      <c r="U68" s="13"/>
      <c r="V68" s="31">
        <f>IF(T$12=0,0,T68/T$12)</f>
        <v>0</v>
      </c>
      <c r="W68" s="15"/>
      <c r="X68" s="33">
        <f>P68-T68</f>
        <v>-28512.989999999962</v>
      </c>
      <c r="Y68" s="15"/>
      <c r="Z68" s="31">
        <f>IF(T68=0,0,X68/T68)</f>
        <v>0.1511027222241004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293</v>
      </c>
      <c r="C71" s="26"/>
      <c r="D71" s="34">
        <f>SUM(D68:D70)</f>
        <v>-63484.42</v>
      </c>
      <c r="E71" s="13"/>
      <c r="F71" s="30">
        <f>IF(D$12=0,0,D71/D$12)</f>
        <v>0</v>
      </c>
      <c r="G71" s="13"/>
      <c r="H71" s="34">
        <f>SUM(H68:H70)</f>
        <v>-53720.339999999989</v>
      </c>
      <c r="I71" s="13"/>
      <c r="J71" s="30">
        <f>IF(H$12=0,0,H71/H$12)</f>
        <v>0</v>
      </c>
      <c r="K71" s="15"/>
      <c r="L71" s="34">
        <f>+D71-H71</f>
        <v>-9764.080000000009</v>
      </c>
      <c r="M71" s="15"/>
      <c r="N71" s="30">
        <f>IF(H71=0,0,L71/H71)</f>
        <v>0.1817575987046994</v>
      </c>
      <c r="O71" s="25"/>
      <c r="P71" s="34">
        <f>SUM(P68:P70)</f>
        <v>-217212.36999999994</v>
      </c>
      <c r="Q71" s="13"/>
      <c r="R71" s="30">
        <f>IF(P$12=0,0,P71/P$12)</f>
        <v>0</v>
      </c>
      <c r="S71" s="13"/>
      <c r="T71" s="34">
        <f>SUM(T68:T70)</f>
        <v>-188699.37999999998</v>
      </c>
      <c r="U71" s="13"/>
      <c r="V71" s="30">
        <f>IF(T$12=0,0,T71/T$12)</f>
        <v>0</v>
      </c>
      <c r="W71" s="15"/>
      <c r="X71" s="34">
        <f>+P71-T71</f>
        <v>-28512.989999999962</v>
      </c>
      <c r="Y71" s="15"/>
      <c r="Z71" s="30">
        <f>IF(T71=0,0,X71/T71)</f>
        <v>0.1511027222241004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61">
        <v>44517.967041516204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7" t="s">
        <v>56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8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49361.08</v>
      </c>
      <c r="E18" s="21"/>
      <c r="F18" s="36">
        <f t="shared" ref="F18:F28" si="0">IF(D$12=0,0,D18/D$12)</f>
        <v>0</v>
      </c>
      <c r="G18" s="21"/>
      <c r="H18" s="21">
        <f>SUM(OSRRefH22x_0)</f>
        <v>60340.259999999995</v>
      </c>
      <c r="I18" s="21"/>
      <c r="J18" s="36">
        <f t="shared" ref="J18:J28" si="1">IF(H$12=0,0,H18/H$12)</f>
        <v>0</v>
      </c>
      <c r="K18" s="4"/>
      <c r="L18" s="21">
        <f t="shared" ref="L18:L28" si="2">+D18-H18</f>
        <v>-10979.179999999993</v>
      </c>
      <c r="M18" s="4"/>
      <c r="N18" s="36">
        <f t="shared" ref="N18:N28" si="3">IF(H18=0,0,L18/H18)</f>
        <v>-0.18195446953659122</v>
      </c>
      <c r="O18" s="10"/>
      <c r="P18" s="21">
        <f>SUM(OSRRefP22x_0)</f>
        <v>182670.56999999998</v>
      </c>
      <c r="Q18" s="21"/>
      <c r="R18" s="36">
        <f t="shared" ref="R18:R28" si="4">IF(P$12=0,0,P18/P$12)</f>
        <v>0</v>
      </c>
      <c r="S18" s="21"/>
      <c r="T18" s="21">
        <f>SUM(OSRRefT22x_0)</f>
        <v>211107.58</v>
      </c>
      <c r="U18" s="21"/>
      <c r="V18" s="36">
        <f t="shared" ref="V18:V28" si="5">IF(T$12=0,0,T18/T$12)</f>
        <v>0</v>
      </c>
      <c r="W18" s="4"/>
      <c r="X18" s="21">
        <f t="shared" ref="X18:X28" si="6">+P18-T18</f>
        <v>-28437.010000000009</v>
      </c>
      <c r="Y18" s="4"/>
      <c r="Z18" s="36">
        <f t="shared" ref="Z18:Z28" si="7">IF(T18=0,0,X18/T18)</f>
        <v>-0.1347038794154147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12876.02</v>
      </c>
      <c r="E19" s="1"/>
      <c r="F19" s="5">
        <f t="shared" si="0"/>
        <v>0</v>
      </c>
      <c r="G19" s="1"/>
      <c r="H19" s="1">
        <f>SUM(OSRRefH22_0x_0)</f>
        <v>15207.03</v>
      </c>
      <c r="I19" s="1"/>
      <c r="J19" s="5">
        <f t="shared" si="1"/>
        <v>0</v>
      </c>
      <c r="K19" s="1"/>
      <c r="L19" s="1">
        <f t="shared" si="2"/>
        <v>-2331.0100000000002</v>
      </c>
      <c r="M19" s="1"/>
      <c r="N19" s="5">
        <f t="shared" si="3"/>
        <v>-0.15328502672777</v>
      </c>
      <c r="O19" s="14"/>
      <c r="P19" s="1">
        <f>SUM(OSRRefP22_0x_0)</f>
        <v>45169.11</v>
      </c>
      <c r="Q19" s="1"/>
      <c r="R19" s="5">
        <f t="shared" si="4"/>
        <v>0</v>
      </c>
      <c r="S19" s="1"/>
      <c r="T19" s="1">
        <f>SUM(OSRRefT22_0x_0)</f>
        <v>52428.029999999992</v>
      </c>
      <c r="U19" s="1"/>
      <c r="V19" s="5">
        <f t="shared" si="5"/>
        <v>0</v>
      </c>
      <c r="W19" s="1"/>
      <c r="X19" s="1">
        <f t="shared" si="6"/>
        <v>-7258.919999999991</v>
      </c>
      <c r="Y19" s="1"/>
      <c r="Z19" s="5">
        <f t="shared" si="7"/>
        <v>-0.13845494480719556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2134.3200000000002</v>
      </c>
      <c r="E20" s="2"/>
      <c r="F20" s="7">
        <f t="shared" si="0"/>
        <v>0</v>
      </c>
      <c r="G20" s="2"/>
      <c r="H20" s="6">
        <v>3477.59</v>
      </c>
      <c r="I20" s="2"/>
      <c r="J20" s="7">
        <f t="shared" si="1"/>
        <v>0</v>
      </c>
      <c r="K20" s="2"/>
      <c r="L20" s="6">
        <f t="shared" si="2"/>
        <v>-1343.27</v>
      </c>
      <c r="M20" s="2"/>
      <c r="N20" s="7">
        <f t="shared" si="3"/>
        <v>-0.38626462578969917</v>
      </c>
      <c r="O20" s="11"/>
      <c r="P20" s="6">
        <v>6368.52</v>
      </c>
      <c r="Q20" s="2"/>
      <c r="R20" s="7">
        <f t="shared" si="4"/>
        <v>0</v>
      </c>
      <c r="S20" s="2"/>
      <c r="T20" s="6">
        <v>8332.39</v>
      </c>
      <c r="U20" s="2"/>
      <c r="V20" s="7">
        <f t="shared" si="5"/>
        <v>0</v>
      </c>
      <c r="W20" s="2"/>
      <c r="X20" s="6">
        <f t="shared" si="6"/>
        <v>-1963.869999999999</v>
      </c>
      <c r="Y20" s="2"/>
      <c r="Z20" s="7">
        <f t="shared" si="7"/>
        <v>-0.23569108023028196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359.9</v>
      </c>
      <c r="E21" s="2"/>
      <c r="F21" s="7">
        <f t="shared" si="0"/>
        <v>0</v>
      </c>
      <c r="G21" s="2"/>
      <c r="H21" s="6">
        <v>70.81</v>
      </c>
      <c r="I21" s="2"/>
      <c r="J21" s="7">
        <f t="shared" si="1"/>
        <v>0</v>
      </c>
      <c r="K21" s="2"/>
      <c r="L21" s="6">
        <f t="shared" si="2"/>
        <v>289.08999999999997</v>
      </c>
      <c r="M21" s="2"/>
      <c r="N21" s="7">
        <f t="shared" si="3"/>
        <v>4.0826154497952265</v>
      </c>
      <c r="O21" s="11"/>
      <c r="P21" s="6">
        <v>1073.9100000000001</v>
      </c>
      <c r="Q21" s="2"/>
      <c r="R21" s="7">
        <f t="shared" si="4"/>
        <v>0</v>
      </c>
      <c r="S21" s="2"/>
      <c r="T21" s="6">
        <v>284.72000000000003</v>
      </c>
      <c r="U21" s="2"/>
      <c r="V21" s="7">
        <f t="shared" si="5"/>
        <v>0</v>
      </c>
      <c r="W21" s="2"/>
      <c r="X21" s="6">
        <f t="shared" si="6"/>
        <v>789.19</v>
      </c>
      <c r="Y21" s="2"/>
      <c r="Z21" s="7">
        <f t="shared" si="7"/>
        <v>2.7718109019387467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4833.2700000000004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-734.59999999999945</v>
      </c>
      <c r="M22" s="2"/>
      <c r="N22" s="7">
        <f t="shared" si="3"/>
        <v>-0.13193555165619877</v>
      </c>
      <c r="O22" s="11"/>
      <c r="P22" s="6">
        <v>19366.830000000002</v>
      </c>
      <c r="Q22" s="2"/>
      <c r="R22" s="7">
        <f t="shared" si="4"/>
        <v>0</v>
      </c>
      <c r="S22" s="2"/>
      <c r="T22" s="6">
        <v>22271.48</v>
      </c>
      <c r="U22" s="2"/>
      <c r="V22" s="7">
        <f t="shared" si="5"/>
        <v>0</v>
      </c>
      <c r="W22" s="2"/>
      <c r="X22" s="6">
        <f t="shared" si="6"/>
        <v>-2904.6499999999978</v>
      </c>
      <c r="Y22" s="2"/>
      <c r="Z22" s="7">
        <f t="shared" si="7"/>
        <v>-0.13042016067185466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72.540000000000006</v>
      </c>
      <c r="E23" s="2"/>
      <c r="F23" s="7">
        <f t="shared" si="0"/>
        <v>0</v>
      </c>
      <c r="G23" s="2"/>
      <c r="H23" s="6">
        <v>55.79</v>
      </c>
      <c r="I23" s="2"/>
      <c r="J23" s="7">
        <f t="shared" si="1"/>
        <v>0</v>
      </c>
      <c r="K23" s="2"/>
      <c r="L23" s="6">
        <f t="shared" si="2"/>
        <v>16.750000000000007</v>
      </c>
      <c r="M23" s="2"/>
      <c r="N23" s="7">
        <f t="shared" si="3"/>
        <v>0.30023301666965418</v>
      </c>
      <c r="O23" s="11"/>
      <c r="P23" s="6">
        <v>216.44</v>
      </c>
      <c r="Q23" s="2"/>
      <c r="R23" s="7">
        <f t="shared" si="4"/>
        <v>0</v>
      </c>
      <c r="S23" s="2"/>
      <c r="T23" s="6">
        <v>224.32</v>
      </c>
      <c r="U23" s="2"/>
      <c r="V23" s="7">
        <f t="shared" si="5"/>
        <v>0</v>
      </c>
      <c r="W23" s="2"/>
      <c r="X23" s="6">
        <f t="shared" si="6"/>
        <v>-7.8799999999999955</v>
      </c>
      <c r="Y23" s="2"/>
      <c r="Z23" s="7">
        <f t="shared" si="7"/>
        <v>-3.5128388017118387E-2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2751.15</v>
      </c>
      <c r="E24" s="2"/>
      <c r="F24" s="7">
        <f t="shared" si="0"/>
        <v>0</v>
      </c>
      <c r="G24" s="2"/>
      <c r="H24" s="6">
        <v>1861.21</v>
      </c>
      <c r="I24" s="2"/>
      <c r="J24" s="7">
        <f t="shared" si="1"/>
        <v>0</v>
      </c>
      <c r="K24" s="2"/>
      <c r="L24" s="6">
        <f t="shared" si="2"/>
        <v>889.94</v>
      </c>
      <c r="M24" s="2"/>
      <c r="N24" s="7">
        <f t="shared" si="3"/>
        <v>0.47815131016919105</v>
      </c>
      <c r="O24" s="11"/>
      <c r="P24" s="6">
        <v>8253.48</v>
      </c>
      <c r="Q24" s="2"/>
      <c r="R24" s="7">
        <f t="shared" si="4"/>
        <v>0</v>
      </c>
      <c r="S24" s="2"/>
      <c r="T24" s="6">
        <v>8375.44</v>
      </c>
      <c r="U24" s="2"/>
      <c r="V24" s="7">
        <f t="shared" si="5"/>
        <v>0</v>
      </c>
      <c r="W24" s="2"/>
      <c r="X24" s="6">
        <f t="shared" si="6"/>
        <v>-121.96000000000095</v>
      </c>
      <c r="Y24" s="2"/>
      <c r="Z24" s="7">
        <f t="shared" si="7"/>
        <v>-1.4561623031148326E-2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160.72</v>
      </c>
      <c r="I25" s="2"/>
      <c r="J25" s="7">
        <f t="shared" si="1"/>
        <v>0</v>
      </c>
      <c r="K25" s="2"/>
      <c r="L25" s="6">
        <f t="shared" si="2"/>
        <v>-160.72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747.88</v>
      </c>
      <c r="U25" s="2"/>
      <c r="V25" s="7">
        <f t="shared" si="5"/>
        <v>0</v>
      </c>
      <c r="W25" s="2"/>
      <c r="X25" s="6">
        <f t="shared" si="6"/>
        <v>-747.88</v>
      </c>
      <c r="Y25" s="2"/>
      <c r="Z25" s="7">
        <f t="shared" si="7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1106.1099999999999</v>
      </c>
      <c r="E26" s="2"/>
      <c r="F26" s="7">
        <f t="shared" si="0"/>
        <v>0</v>
      </c>
      <c r="G26" s="2"/>
      <c r="H26" s="6">
        <v>2211.96</v>
      </c>
      <c r="I26" s="2"/>
      <c r="J26" s="7">
        <f t="shared" si="1"/>
        <v>0</v>
      </c>
      <c r="K26" s="2"/>
      <c r="L26" s="6">
        <f t="shared" si="2"/>
        <v>-1105.8500000000001</v>
      </c>
      <c r="M26" s="2"/>
      <c r="N26" s="7">
        <f t="shared" si="3"/>
        <v>-0.49994122859364548</v>
      </c>
      <c r="O26" s="11"/>
      <c r="P26" s="6">
        <v>5170.3</v>
      </c>
      <c r="Q26" s="2"/>
      <c r="R26" s="7">
        <f t="shared" si="4"/>
        <v>0</v>
      </c>
      <c r="S26" s="2"/>
      <c r="T26" s="6">
        <v>6635.88</v>
      </c>
      <c r="U26" s="2"/>
      <c r="V26" s="7">
        <f t="shared" si="5"/>
        <v>0</v>
      </c>
      <c r="W26" s="2"/>
      <c r="X26" s="6">
        <f t="shared" si="6"/>
        <v>-1465.58</v>
      </c>
      <c r="Y26" s="2"/>
      <c r="Z26" s="7">
        <f t="shared" si="7"/>
        <v>-0.220856917243832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1266.0899999999999</v>
      </c>
      <c r="E27" s="2"/>
      <c r="F27" s="7">
        <f t="shared" si="0"/>
        <v>0</v>
      </c>
      <c r="G27" s="2"/>
      <c r="H27" s="6">
        <v>1498.56</v>
      </c>
      <c r="I27" s="2"/>
      <c r="J27" s="7">
        <f t="shared" si="1"/>
        <v>0</v>
      </c>
      <c r="K27" s="2"/>
      <c r="L27" s="6">
        <f t="shared" si="2"/>
        <v>-232.47000000000003</v>
      </c>
      <c r="M27" s="2"/>
      <c r="N27" s="7">
        <f t="shared" si="3"/>
        <v>-0.15512892376681617</v>
      </c>
      <c r="O27" s="11"/>
      <c r="P27" s="6">
        <v>3798.27</v>
      </c>
      <c r="Q27" s="2"/>
      <c r="R27" s="7">
        <f t="shared" si="4"/>
        <v>0</v>
      </c>
      <c r="S27" s="2"/>
      <c r="T27" s="6">
        <v>4495.68</v>
      </c>
      <c r="U27" s="2"/>
      <c r="V27" s="7">
        <f t="shared" si="5"/>
        <v>0</v>
      </c>
      <c r="W27" s="2"/>
      <c r="X27" s="6">
        <f t="shared" si="6"/>
        <v>-697.41000000000031</v>
      </c>
      <c r="Y27" s="2"/>
      <c r="Z27" s="7">
        <f t="shared" si="7"/>
        <v>-0.1551289237668162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>
        <v>352.64</v>
      </c>
      <c r="E28" s="2"/>
      <c r="F28" s="7">
        <f t="shared" si="0"/>
        <v>0</v>
      </c>
      <c r="G28" s="2"/>
      <c r="H28" s="6">
        <v>302.52</v>
      </c>
      <c r="I28" s="2"/>
      <c r="J28" s="7">
        <f t="shared" si="1"/>
        <v>0</v>
      </c>
      <c r="K28" s="2"/>
      <c r="L28" s="6">
        <f t="shared" si="2"/>
        <v>50.120000000000005</v>
      </c>
      <c r="M28" s="2"/>
      <c r="N28" s="7">
        <f t="shared" si="3"/>
        <v>0.16567499669443345</v>
      </c>
      <c r="O28" s="11"/>
      <c r="P28" s="6">
        <v>921.36</v>
      </c>
      <c r="Q28" s="2"/>
      <c r="R28" s="7">
        <f t="shared" si="4"/>
        <v>0</v>
      </c>
      <c r="S28" s="2"/>
      <c r="T28" s="6">
        <v>1060.24</v>
      </c>
      <c r="U28" s="2"/>
      <c r="V28" s="7">
        <f t="shared" si="5"/>
        <v>0</v>
      </c>
      <c r="W28" s="2"/>
      <c r="X28" s="6">
        <f t="shared" si="6"/>
        <v>-138.88</v>
      </c>
      <c r="Y28" s="2"/>
      <c r="Z28" s="7">
        <f t="shared" si="7"/>
        <v>-0.1309892099901909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21389</v>
      </c>
      <c r="E29" s="1"/>
      <c r="F29" s="5">
        <f t="shared" ref="F29:F32" si="8">IF(D$12=0,0,D29/D$12)</f>
        <v>0</v>
      </c>
      <c r="G29" s="1"/>
      <c r="H29" s="1">
        <f>SUM(OSRRefH22_1x_0)</f>
        <v>24666.68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-3277.6800000000003</v>
      </c>
      <c r="M29" s="1"/>
      <c r="N29" s="5">
        <f t="shared" ref="N29:N32" si="11">IF(H29=0,0,L29/H29)</f>
        <v>-0.1328788470925151</v>
      </c>
      <c r="O29" s="14"/>
      <c r="P29" s="1">
        <f>SUM(OSRRefP22_1x_0)</f>
        <v>76468.039999999994</v>
      </c>
      <c r="Q29" s="1"/>
      <c r="R29" s="5">
        <f t="shared" ref="R29:R32" si="12">IF(P$12=0,0,P29/P$12)</f>
        <v>0</v>
      </c>
      <c r="S29" s="1"/>
      <c r="T29" s="1">
        <f>SUM(OSRRefT22_1x_0)</f>
        <v>89461.43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-12993.39</v>
      </c>
      <c r="Y29" s="1"/>
      <c r="Z29" s="5">
        <f t="shared" ref="Z29:Z32" si="15">IF(T29=0,0,X29/T29)</f>
        <v>-0.14524013309422842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6">
        <v>21389</v>
      </c>
      <c r="E30" s="2"/>
      <c r="F30" s="7">
        <f t="shared" si="8"/>
        <v>0</v>
      </c>
      <c r="G30" s="2"/>
      <c r="H30" s="6">
        <v>20606.53</v>
      </c>
      <c r="I30" s="2"/>
      <c r="J30" s="7">
        <f t="shared" si="9"/>
        <v>0</v>
      </c>
      <c r="K30" s="2"/>
      <c r="L30" s="6">
        <f t="shared" si="10"/>
        <v>782.47000000000116</v>
      </c>
      <c r="M30" s="2"/>
      <c r="N30" s="7">
        <f t="shared" si="11"/>
        <v>3.7971943844985118E-2</v>
      </c>
      <c r="O30" s="11"/>
      <c r="P30" s="6">
        <v>76468.039999999994</v>
      </c>
      <c r="Q30" s="2"/>
      <c r="R30" s="7">
        <f t="shared" si="12"/>
        <v>0</v>
      </c>
      <c r="S30" s="2"/>
      <c r="T30" s="6">
        <v>76850.39</v>
      </c>
      <c r="U30" s="2"/>
      <c r="V30" s="7">
        <f t="shared" si="13"/>
        <v>0</v>
      </c>
      <c r="W30" s="2"/>
      <c r="X30" s="6">
        <f t="shared" si="14"/>
        <v>-382.35000000000582</v>
      </c>
      <c r="Y30" s="2"/>
      <c r="Z30" s="7">
        <f t="shared" si="15"/>
        <v>-4.975251264177135E-3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>
        <v>4900.1499999999996</v>
      </c>
      <c r="I31" s="2"/>
      <c r="J31" s="7">
        <f t="shared" si="9"/>
        <v>0</v>
      </c>
      <c r="K31" s="2"/>
      <c r="L31" s="6">
        <f t="shared" si="10"/>
        <v>-4900.1499999999996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12611.04</v>
      </c>
      <c r="U31" s="2"/>
      <c r="V31" s="7">
        <f t="shared" si="13"/>
        <v>0</v>
      </c>
      <c r="W31" s="2"/>
      <c r="X31" s="6">
        <f t="shared" si="14"/>
        <v>-12611.04</v>
      </c>
      <c r="Y31" s="2"/>
      <c r="Z31" s="7">
        <f t="shared" si="15"/>
        <v>-1</v>
      </c>
    </row>
    <row r="32" spans="1:26" s="24" customFormat="1" hidden="1" outlineLevel="2" x14ac:dyDescent="0.25">
      <c r="A32" s="29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8"/>
        <v>0</v>
      </c>
      <c r="G32" s="2"/>
      <c r="H32" s="6">
        <v>-840</v>
      </c>
      <c r="I32" s="2"/>
      <c r="J32" s="7">
        <f t="shared" si="9"/>
        <v>0</v>
      </c>
      <c r="K32" s="2"/>
      <c r="L32" s="6">
        <f t="shared" si="10"/>
        <v>840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8" customFormat="1" outlineLevel="1" collapsed="1" x14ac:dyDescent="0.25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2140.9</v>
      </c>
      <c r="E33" s="1"/>
      <c r="F33" s="5">
        <f t="shared" ref="F33:F41" si="16">IF(D$12=0,0,D33/D$12)</f>
        <v>0</v>
      </c>
      <c r="G33" s="1"/>
      <c r="H33" s="1">
        <f>SUM(OSRRefH22_2x_0)</f>
        <v>5077.13</v>
      </c>
      <c r="I33" s="1"/>
      <c r="J33" s="5">
        <f t="shared" ref="J33:J41" si="17">IF(H$12=0,0,H33/H$12)</f>
        <v>0</v>
      </c>
      <c r="K33" s="1"/>
      <c r="L33" s="1">
        <f t="shared" ref="L33:L41" si="18">+D33-H33</f>
        <v>-2936.23</v>
      </c>
      <c r="M33" s="1"/>
      <c r="N33" s="5">
        <f t="shared" ref="N33:N41" si="19">IF(H33=0,0,L33/H33)</f>
        <v>-0.57832476221802476</v>
      </c>
      <c r="O33" s="14"/>
      <c r="P33" s="1">
        <f>SUM(OSRRefP22_2x_0)</f>
        <v>17436</v>
      </c>
      <c r="Q33" s="1"/>
      <c r="R33" s="5">
        <f t="shared" ref="R33:R41" si="20">IF(P$12=0,0,P33/P$12)</f>
        <v>0</v>
      </c>
      <c r="S33" s="1"/>
      <c r="T33" s="1">
        <f>SUM(OSRRefT22_2x_0)</f>
        <v>21463.54</v>
      </c>
      <c r="U33" s="1"/>
      <c r="V33" s="5">
        <f t="shared" ref="V33:V41" si="21">IF(T$12=0,0,T33/T$12)</f>
        <v>0</v>
      </c>
      <c r="W33" s="1"/>
      <c r="X33" s="1">
        <f t="shared" ref="X33:X41" si="22">+P33-T33</f>
        <v>-4027.5400000000009</v>
      </c>
      <c r="Y33" s="1"/>
      <c r="Z33" s="5">
        <f t="shared" ref="Z33:Z41" si="23">IF(T33=0,0,X33/T33)</f>
        <v>-0.18764565397879385</v>
      </c>
    </row>
    <row r="34" spans="1:26" s="24" customFormat="1" hidden="1" outlineLevel="2" x14ac:dyDescent="0.25">
      <c r="A34" s="29"/>
      <c r="B34" s="11" t="str">
        <f>CONCATENATE("          ", "6322", " - ", "EQUIPMENT DEPRECIATION EXPENSE")</f>
        <v xml:space="preserve">          6322 - EQUIPMENT DEPRECIATION EXPENSE</v>
      </c>
      <c r="C34" s="11"/>
      <c r="D34" s="6">
        <v>2140.9</v>
      </c>
      <c r="E34" s="2"/>
      <c r="F34" s="7">
        <f t="shared" si="16"/>
        <v>0</v>
      </c>
      <c r="G34" s="2"/>
      <c r="H34" s="6">
        <v>5077.13</v>
      </c>
      <c r="I34" s="2"/>
      <c r="J34" s="7">
        <f t="shared" si="17"/>
        <v>0</v>
      </c>
      <c r="K34" s="2"/>
      <c r="L34" s="6">
        <f t="shared" si="18"/>
        <v>-2936.23</v>
      </c>
      <c r="M34" s="2"/>
      <c r="N34" s="7">
        <f t="shared" si="19"/>
        <v>-0.57832476221802476</v>
      </c>
      <c r="O34" s="11"/>
      <c r="P34" s="6">
        <v>17436</v>
      </c>
      <c r="Q34" s="2"/>
      <c r="R34" s="7">
        <f t="shared" si="20"/>
        <v>0</v>
      </c>
      <c r="S34" s="2"/>
      <c r="T34" s="6">
        <v>21463.54</v>
      </c>
      <c r="U34" s="2"/>
      <c r="V34" s="7">
        <f t="shared" si="21"/>
        <v>0</v>
      </c>
      <c r="W34" s="2"/>
      <c r="X34" s="6">
        <f t="shared" si="22"/>
        <v>-4027.5400000000009</v>
      </c>
      <c r="Y34" s="2"/>
      <c r="Z34" s="7">
        <f t="shared" si="23"/>
        <v>-0.18764565397879385</v>
      </c>
    </row>
    <row r="35" spans="1:26" s="28" customFormat="1" outlineLevel="1" collapsed="1" x14ac:dyDescent="0.25">
      <c r="A35" s="27"/>
      <c r="B35" s="14" t="str">
        <f>CONCATENATE("     ","Insurance                                         ")</f>
        <v xml:space="preserve">     Insurance                                         </v>
      </c>
      <c r="C35" s="14"/>
      <c r="D35" s="1">
        <f>SUM(OSRRefD22_3x_0)</f>
        <v>76.569999999999993</v>
      </c>
      <c r="E35" s="1"/>
      <c r="F35" s="5">
        <f t="shared" si="16"/>
        <v>0</v>
      </c>
      <c r="G35" s="1"/>
      <c r="H35" s="1">
        <f>SUM(OSRRefH22_3x_0)</f>
        <v>56.34</v>
      </c>
      <c r="I35" s="1"/>
      <c r="J35" s="5">
        <f t="shared" si="17"/>
        <v>0</v>
      </c>
      <c r="K35" s="1"/>
      <c r="L35" s="1">
        <f t="shared" si="18"/>
        <v>20.22999999999999</v>
      </c>
      <c r="M35" s="1"/>
      <c r="N35" s="5">
        <f t="shared" si="19"/>
        <v>0.35906993255236047</v>
      </c>
      <c r="O35" s="14"/>
      <c r="P35" s="1">
        <f>SUM(OSRRefP22_3x_0)</f>
        <v>306.27999999999997</v>
      </c>
      <c r="Q35" s="1"/>
      <c r="R35" s="5">
        <f t="shared" si="20"/>
        <v>0</v>
      </c>
      <c r="S35" s="1"/>
      <c r="T35" s="1">
        <f>SUM(OSRRefT22_3x_0)</f>
        <v>225.36</v>
      </c>
      <c r="U35" s="1"/>
      <c r="V35" s="5">
        <f t="shared" si="21"/>
        <v>0</v>
      </c>
      <c r="W35" s="1"/>
      <c r="X35" s="1">
        <f t="shared" si="22"/>
        <v>80.919999999999959</v>
      </c>
      <c r="Y35" s="1"/>
      <c r="Z35" s="5">
        <f t="shared" si="23"/>
        <v>0.35906993255236047</v>
      </c>
    </row>
    <row r="36" spans="1:26" s="24" customFormat="1" hidden="1" outlineLevel="2" x14ac:dyDescent="0.25">
      <c r="A36" s="29"/>
      <c r="B36" s="11" t="str">
        <f>CONCATENATE("          ", "6314", " - ", "LIABILITY INSURANCE")</f>
        <v xml:space="preserve">          6314 - LIABILITY INSURANCE</v>
      </c>
      <c r="C36" s="11"/>
      <c r="D36" s="6">
        <v>76.569999999999993</v>
      </c>
      <c r="E36" s="2"/>
      <c r="F36" s="7">
        <f t="shared" si="16"/>
        <v>0</v>
      </c>
      <c r="G36" s="2"/>
      <c r="H36" s="6">
        <v>56.34</v>
      </c>
      <c r="I36" s="2"/>
      <c r="J36" s="7">
        <f t="shared" si="17"/>
        <v>0</v>
      </c>
      <c r="K36" s="2"/>
      <c r="L36" s="6">
        <f t="shared" si="18"/>
        <v>20.22999999999999</v>
      </c>
      <c r="M36" s="2"/>
      <c r="N36" s="7">
        <f t="shared" si="19"/>
        <v>0.35906993255236047</v>
      </c>
      <c r="O36" s="11"/>
      <c r="P36" s="6">
        <v>306.27999999999997</v>
      </c>
      <c r="Q36" s="2"/>
      <c r="R36" s="7">
        <f t="shared" si="20"/>
        <v>0</v>
      </c>
      <c r="S36" s="2"/>
      <c r="T36" s="6">
        <v>225.36</v>
      </c>
      <c r="U36" s="2"/>
      <c r="V36" s="7">
        <f t="shared" si="21"/>
        <v>0</v>
      </c>
      <c r="W36" s="2"/>
      <c r="X36" s="6">
        <f t="shared" si="22"/>
        <v>80.919999999999959</v>
      </c>
      <c r="Y36" s="2"/>
      <c r="Z36" s="7">
        <f t="shared" si="23"/>
        <v>0.35906993255236047</v>
      </c>
    </row>
    <row r="37" spans="1:26" s="28" customFormat="1" outlineLevel="1" collapsed="1" x14ac:dyDescent="0.25">
      <c r="A37" s="27"/>
      <c r="B37" s="14" t="str">
        <f>CONCATENATE("     ","Repair and Maintenance                            ")</f>
        <v xml:space="preserve">     Repair and Maintenance                            </v>
      </c>
      <c r="C37" s="14"/>
      <c r="D37" s="1">
        <f>SUM(OSRRefD22_4x_0)</f>
        <v>10667.06</v>
      </c>
      <c r="E37" s="1"/>
      <c r="F37" s="5">
        <f t="shared" si="16"/>
        <v>0</v>
      </c>
      <c r="G37" s="1"/>
      <c r="H37" s="1">
        <f>SUM(OSRRefH22_4x_0)</f>
        <v>14428.16</v>
      </c>
      <c r="I37" s="1"/>
      <c r="J37" s="5">
        <f t="shared" si="17"/>
        <v>0</v>
      </c>
      <c r="K37" s="1"/>
      <c r="L37" s="1">
        <f t="shared" si="18"/>
        <v>-3761.1000000000004</v>
      </c>
      <c r="M37" s="1"/>
      <c r="N37" s="5">
        <f t="shared" si="19"/>
        <v>-0.26067773021646562</v>
      </c>
      <c r="O37" s="14"/>
      <c r="P37" s="1">
        <f>SUM(OSRRefP22_4x_0)</f>
        <v>38371.579999999994</v>
      </c>
      <c r="Q37" s="1"/>
      <c r="R37" s="5">
        <f t="shared" si="20"/>
        <v>0</v>
      </c>
      <c r="S37" s="1"/>
      <c r="T37" s="1">
        <f>SUM(OSRRefT22_4x_0)</f>
        <v>48604.160000000003</v>
      </c>
      <c r="U37" s="1"/>
      <c r="V37" s="5">
        <f t="shared" si="21"/>
        <v>0</v>
      </c>
      <c r="W37" s="1"/>
      <c r="X37" s="1">
        <f t="shared" si="22"/>
        <v>-10232.580000000009</v>
      </c>
      <c r="Y37" s="1"/>
      <c r="Z37" s="5">
        <f t="shared" si="23"/>
        <v>-0.21052889300010552</v>
      </c>
    </row>
    <row r="38" spans="1:26" s="24" customFormat="1" hidden="1" outlineLevel="2" x14ac:dyDescent="0.25">
      <c r="A38" s="29"/>
      <c r="B38" s="11" t="str">
        <f>CONCATENATE("          ", "6371", " - ", "COMPUTER SOFTWARE MAINTENANCE")</f>
        <v xml:space="preserve">          6371 - COMPUTER SOFTWARE MAINTENANCE</v>
      </c>
      <c r="C38" s="11"/>
      <c r="D38" s="6">
        <v>165</v>
      </c>
      <c r="E38" s="2"/>
      <c r="F38" s="7">
        <f t="shared" si="16"/>
        <v>0</v>
      </c>
      <c r="G38" s="2"/>
      <c r="H38" s="6">
        <v>2436.16</v>
      </c>
      <c r="I38" s="2"/>
      <c r="J38" s="7">
        <f t="shared" si="17"/>
        <v>0</v>
      </c>
      <c r="K38" s="2"/>
      <c r="L38" s="6">
        <f t="shared" si="18"/>
        <v>-2271.16</v>
      </c>
      <c r="M38" s="2"/>
      <c r="N38" s="7">
        <f t="shared" si="19"/>
        <v>-0.9322704584263759</v>
      </c>
      <c r="O38" s="11"/>
      <c r="P38" s="6">
        <v>1824</v>
      </c>
      <c r="Q38" s="2"/>
      <c r="R38" s="7">
        <f t="shared" si="20"/>
        <v>0</v>
      </c>
      <c r="S38" s="2"/>
      <c r="T38" s="6">
        <v>2436.16</v>
      </c>
      <c r="U38" s="2"/>
      <c r="V38" s="7">
        <f t="shared" si="21"/>
        <v>0</v>
      </c>
      <c r="W38" s="2"/>
      <c r="X38" s="6">
        <f t="shared" si="22"/>
        <v>-612.15999999999985</v>
      </c>
      <c r="Y38" s="2"/>
      <c r="Z38" s="7">
        <f t="shared" si="23"/>
        <v>-0.25128070405884667</v>
      </c>
    </row>
    <row r="39" spans="1:26" s="24" customFormat="1" hidden="1" outlineLevel="2" x14ac:dyDescent="0.25">
      <c r="A39" s="29"/>
      <c r="B39" s="11" t="str">
        <f>CONCATENATE("          ", "6372", " - ", "COMPUTER HARDWARE MAINTENANCE")</f>
        <v xml:space="preserve">          6372 - COMPUTER HARDWARE MAINTENANCE</v>
      </c>
      <c r="C39" s="11"/>
      <c r="D39" s="6">
        <v>1008.07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1008.07</v>
      </c>
      <c r="M39" s="2"/>
      <c r="N39" s="7">
        <f t="shared" si="19"/>
        <v>0</v>
      </c>
      <c r="O39" s="11"/>
      <c r="P39" s="6">
        <v>1008.07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1008.07</v>
      </c>
      <c r="Y39" s="2"/>
      <c r="Z39" s="7">
        <f t="shared" si="23"/>
        <v>0</v>
      </c>
    </row>
    <row r="40" spans="1:26" s="24" customFormat="1" hidden="1" outlineLevel="2" x14ac:dyDescent="0.25">
      <c r="A40" s="29"/>
      <c r="B40" s="11" t="str">
        <f>CONCATENATE("          ", "6373", " - ", "MAINTENANCE CONTRACTS")</f>
        <v xml:space="preserve">          6373 - MAINTENANCE CONTRACTS</v>
      </c>
      <c r="C40" s="11"/>
      <c r="D40" s="6">
        <v>9493.99</v>
      </c>
      <c r="E40" s="2"/>
      <c r="F40" s="7">
        <f t="shared" si="16"/>
        <v>0</v>
      </c>
      <c r="G40" s="2"/>
      <c r="H40" s="6">
        <v>11992</v>
      </c>
      <c r="I40" s="2"/>
      <c r="J40" s="7">
        <f t="shared" si="17"/>
        <v>0</v>
      </c>
      <c r="K40" s="2"/>
      <c r="L40" s="6">
        <f t="shared" si="18"/>
        <v>-2498.0100000000002</v>
      </c>
      <c r="M40" s="2"/>
      <c r="N40" s="7">
        <f t="shared" si="19"/>
        <v>-0.20830637091394263</v>
      </c>
      <c r="O40" s="11"/>
      <c r="P40" s="6">
        <v>35491.99</v>
      </c>
      <c r="Q40" s="2"/>
      <c r="R40" s="7">
        <f t="shared" si="20"/>
        <v>0</v>
      </c>
      <c r="S40" s="2"/>
      <c r="T40" s="6">
        <v>46168</v>
      </c>
      <c r="U40" s="2"/>
      <c r="V40" s="7">
        <f t="shared" si="21"/>
        <v>0</v>
      </c>
      <c r="W40" s="2"/>
      <c r="X40" s="6">
        <f t="shared" si="22"/>
        <v>-10676.010000000002</v>
      </c>
      <c r="Y40" s="2"/>
      <c r="Z40" s="7">
        <f t="shared" si="23"/>
        <v>-0.2312426355917519</v>
      </c>
    </row>
    <row r="41" spans="1:26" s="24" customFormat="1" hidden="1" outlineLevel="2" x14ac:dyDescent="0.25">
      <c r="A41" s="29"/>
      <c r="B41" s="11" t="str">
        <f>CONCATENATE("          ", "6375", " - ", "OUTSIDE REPAIRS &amp; MAINTENANCE")</f>
        <v xml:space="preserve">          6375 - OUTSIDE REPAIRS &amp; MAINTENANCE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47.52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47.52</v>
      </c>
      <c r="Y41" s="2"/>
      <c r="Z41" s="7">
        <f t="shared" si="23"/>
        <v>0</v>
      </c>
    </row>
    <row r="42" spans="1:26" s="28" customFormat="1" outlineLevel="1" collapsed="1" x14ac:dyDescent="0.25">
      <c r="A42" s="27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SUM(OSRRefD22_5x_0)</f>
        <v>1012.82</v>
      </c>
      <c r="E42" s="1"/>
      <c r="F42" s="5">
        <f t="shared" ref="F42:F46" si="24">IF(D$12=0,0,D42/D$12)</f>
        <v>0</v>
      </c>
      <c r="G42" s="1"/>
      <c r="H42" s="1">
        <f>SUM(OSRRefH22_5x_0)</f>
        <v>60.63</v>
      </c>
      <c r="I42" s="1"/>
      <c r="J42" s="5">
        <f t="shared" ref="J42:J46" si="25">IF(H$12=0,0,H42/H$12)</f>
        <v>0</v>
      </c>
      <c r="K42" s="1"/>
      <c r="L42" s="1">
        <f t="shared" ref="L42:L46" si="26">+D42-H42</f>
        <v>952.19</v>
      </c>
      <c r="M42" s="1"/>
      <c r="N42" s="5">
        <f t="shared" ref="N42:N46" si="27">IF(H42=0,0,L42/H42)</f>
        <v>15.704931552036946</v>
      </c>
      <c r="O42" s="14"/>
      <c r="P42" s="1">
        <f>SUM(OSRRefP22_5x_0)</f>
        <v>1349.74</v>
      </c>
      <c r="Q42" s="1"/>
      <c r="R42" s="5">
        <f t="shared" ref="R42:R46" si="28">IF(P$12=0,0,P42/P$12)</f>
        <v>0</v>
      </c>
      <c r="S42" s="1"/>
      <c r="T42" s="1">
        <f>SUM(OSRRefT22_5x_0)</f>
        <v>-4441.42</v>
      </c>
      <c r="U42" s="1"/>
      <c r="V42" s="5">
        <f t="shared" ref="V42:V46" si="29">IF(T$12=0,0,T42/T$12)</f>
        <v>0</v>
      </c>
      <c r="W42" s="1"/>
      <c r="X42" s="1">
        <f t="shared" ref="X42:X46" si="30">+P42-T42</f>
        <v>5791.16</v>
      </c>
      <c r="Y42" s="1"/>
      <c r="Z42" s="5">
        <f t="shared" ref="Z42:Z46" si="31">IF(T42=0,0,X42/T42)</f>
        <v>-1.3038983027950519</v>
      </c>
    </row>
    <row r="43" spans="1:26" s="24" customFormat="1" hidden="1" outlineLevel="2" x14ac:dyDescent="0.25">
      <c r="A43" s="29"/>
      <c r="B43" s="11" t="str">
        <f>CONCATENATE("          ", "6241", " - ", "OFFICE EXPENSE")</f>
        <v xml:space="preserve">          6241 - OFFICE EXPENSE</v>
      </c>
      <c r="C43" s="11"/>
      <c r="D43" s="6">
        <v>1012.82</v>
      </c>
      <c r="E43" s="2"/>
      <c r="F43" s="7">
        <f t="shared" si="24"/>
        <v>0</v>
      </c>
      <c r="G43" s="2"/>
      <c r="H43" s="6">
        <v>60.63</v>
      </c>
      <c r="I43" s="2"/>
      <c r="J43" s="7">
        <f t="shared" si="25"/>
        <v>0</v>
      </c>
      <c r="K43" s="2"/>
      <c r="L43" s="6">
        <f t="shared" si="26"/>
        <v>952.19</v>
      </c>
      <c r="M43" s="2"/>
      <c r="N43" s="7">
        <f t="shared" si="27"/>
        <v>15.704931552036946</v>
      </c>
      <c r="O43" s="11"/>
      <c r="P43" s="6">
        <v>1349.74</v>
      </c>
      <c r="Q43" s="2"/>
      <c r="R43" s="7">
        <f t="shared" si="28"/>
        <v>0</v>
      </c>
      <c r="S43" s="2"/>
      <c r="T43" s="6">
        <v>-4441.42</v>
      </c>
      <c r="U43" s="2"/>
      <c r="V43" s="7">
        <f t="shared" si="29"/>
        <v>0</v>
      </c>
      <c r="W43" s="2"/>
      <c r="X43" s="6">
        <f t="shared" si="30"/>
        <v>5791.16</v>
      </c>
      <c r="Y43" s="2"/>
      <c r="Z43" s="7">
        <f t="shared" si="31"/>
        <v>-1.3038983027950519</v>
      </c>
    </row>
    <row r="44" spans="1:26" s="28" customFormat="1" outlineLevel="1" collapsed="1" x14ac:dyDescent="0.25">
      <c r="A44" s="27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SUM(OSRRefD22_6x_0)</f>
        <v>1198.71</v>
      </c>
      <c r="E44" s="1"/>
      <c r="F44" s="5">
        <f t="shared" si="24"/>
        <v>0</v>
      </c>
      <c r="G44" s="1"/>
      <c r="H44" s="1">
        <f>SUM(OSRRefH22_6x_0)</f>
        <v>844.29</v>
      </c>
      <c r="I44" s="1"/>
      <c r="J44" s="5">
        <f t="shared" si="25"/>
        <v>0</v>
      </c>
      <c r="K44" s="1"/>
      <c r="L44" s="1">
        <f t="shared" si="26"/>
        <v>354.42000000000007</v>
      </c>
      <c r="M44" s="1"/>
      <c r="N44" s="5">
        <f t="shared" si="27"/>
        <v>0.41978467114380141</v>
      </c>
      <c r="O44" s="14"/>
      <c r="P44" s="1">
        <f>SUM(OSRRefP22_6x_0)</f>
        <v>3569.82</v>
      </c>
      <c r="Q44" s="1"/>
      <c r="R44" s="5">
        <f t="shared" si="28"/>
        <v>0</v>
      </c>
      <c r="S44" s="1"/>
      <c r="T44" s="1">
        <f>SUM(OSRRefT22_6x_0)</f>
        <v>3366.48</v>
      </c>
      <c r="U44" s="1"/>
      <c r="V44" s="5">
        <f t="shared" si="29"/>
        <v>0</v>
      </c>
      <c r="W44" s="1"/>
      <c r="X44" s="1">
        <f t="shared" si="30"/>
        <v>203.34000000000015</v>
      </c>
      <c r="Y44" s="1"/>
      <c r="Z44" s="5">
        <f t="shared" si="31"/>
        <v>6.0401368788764571E-2</v>
      </c>
    </row>
    <row r="45" spans="1:26" s="24" customFormat="1" hidden="1" outlineLevel="2" x14ac:dyDescent="0.25">
      <c r="A45" s="29"/>
      <c r="B45" s="11" t="str">
        <f>CONCATENATE("          ", "6303", " - ", "DATA PHONE LINES")</f>
        <v xml:space="preserve">          6303 - DATA PHONE LINES</v>
      </c>
      <c r="C45" s="11"/>
      <c r="D45" s="6">
        <v>332.96</v>
      </c>
      <c r="E45" s="2"/>
      <c r="F45" s="7">
        <f t="shared" si="24"/>
        <v>0</v>
      </c>
      <c r="G45" s="2"/>
      <c r="H45" s="6">
        <v>143.97999999999999</v>
      </c>
      <c r="I45" s="2"/>
      <c r="J45" s="7">
        <f t="shared" si="25"/>
        <v>0</v>
      </c>
      <c r="K45" s="2"/>
      <c r="L45" s="6">
        <f t="shared" si="26"/>
        <v>188.98</v>
      </c>
      <c r="M45" s="2"/>
      <c r="N45" s="7">
        <f t="shared" si="27"/>
        <v>1.3125434088067787</v>
      </c>
      <c r="O45" s="11"/>
      <c r="P45" s="6">
        <v>656.92</v>
      </c>
      <c r="Q45" s="2"/>
      <c r="R45" s="7">
        <f t="shared" si="28"/>
        <v>0</v>
      </c>
      <c r="S45" s="2"/>
      <c r="T45" s="6">
        <v>380.95</v>
      </c>
      <c r="U45" s="2"/>
      <c r="V45" s="7">
        <f t="shared" si="29"/>
        <v>0</v>
      </c>
      <c r="W45" s="2"/>
      <c r="X45" s="6">
        <f t="shared" si="30"/>
        <v>275.96999999999997</v>
      </c>
      <c r="Y45" s="2"/>
      <c r="Z45" s="7">
        <f t="shared" si="31"/>
        <v>0.72442577766111027</v>
      </c>
    </row>
    <row r="46" spans="1:26" s="24" customFormat="1" hidden="1" outlineLevel="2" x14ac:dyDescent="0.25">
      <c r="A46" s="29"/>
      <c r="B46" s="11" t="str">
        <f>CONCATENATE("          ", "6309", " - ", "TELEPHONE")</f>
        <v xml:space="preserve">          6309 - TELEPHONE</v>
      </c>
      <c r="C46" s="11"/>
      <c r="D46" s="6">
        <v>865.75</v>
      </c>
      <c r="E46" s="2"/>
      <c r="F46" s="7">
        <f t="shared" si="24"/>
        <v>0</v>
      </c>
      <c r="G46" s="2"/>
      <c r="H46" s="6">
        <v>700.31</v>
      </c>
      <c r="I46" s="2"/>
      <c r="J46" s="7">
        <f t="shared" si="25"/>
        <v>0</v>
      </c>
      <c r="K46" s="2"/>
      <c r="L46" s="6">
        <f t="shared" si="26"/>
        <v>165.44000000000005</v>
      </c>
      <c r="M46" s="2"/>
      <c r="N46" s="7">
        <f t="shared" si="27"/>
        <v>0.23623823735202992</v>
      </c>
      <c r="O46" s="11"/>
      <c r="P46" s="6">
        <v>2912.9</v>
      </c>
      <c r="Q46" s="2"/>
      <c r="R46" s="7">
        <f t="shared" si="28"/>
        <v>0</v>
      </c>
      <c r="S46" s="2"/>
      <c r="T46" s="6">
        <v>2985.53</v>
      </c>
      <c r="U46" s="2"/>
      <c r="V46" s="7">
        <f t="shared" si="29"/>
        <v>0</v>
      </c>
      <c r="W46" s="2"/>
      <c r="X46" s="6">
        <f t="shared" si="30"/>
        <v>-72.630000000000109</v>
      </c>
      <c r="Y46" s="2"/>
      <c r="Z46" s="7">
        <f t="shared" si="31"/>
        <v>-2.432733886445626E-2</v>
      </c>
    </row>
    <row r="47" spans="1:26" s="56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292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6" t="s">
        <v>276</v>
      </c>
      <c r="C50" s="26"/>
      <c r="D50" s="22">
        <f>+D16-D18+D48</f>
        <v>-49361.08</v>
      </c>
      <c r="E50" s="13"/>
      <c r="F50" s="20">
        <f>IF(D$12=0,0,D50/D$12)</f>
        <v>0</v>
      </c>
      <c r="G50" s="13"/>
      <c r="H50" s="22">
        <f>+H16-H18+H48</f>
        <v>-60340.259999999995</v>
      </c>
      <c r="I50" s="13"/>
      <c r="J50" s="20">
        <f>IF(H$12=0,0,H50/H$12)</f>
        <v>0</v>
      </c>
      <c r="K50" s="15"/>
      <c r="L50" s="22">
        <f>+D50-H50</f>
        <v>10979.179999999993</v>
      </c>
      <c r="M50" s="15"/>
      <c r="N50" s="20">
        <f>IF(H50=0,0,L50/H50)</f>
        <v>-0.18195446953659122</v>
      </c>
      <c r="O50" s="25"/>
      <c r="P50" s="22">
        <f>+P16-P18+P48</f>
        <v>-182670.56999999998</v>
      </c>
      <c r="Q50" s="13"/>
      <c r="R50" s="20">
        <f>IF(P$12=0,0,P50/P$12)</f>
        <v>0</v>
      </c>
      <c r="S50" s="13"/>
      <c r="T50" s="22">
        <f>+T16-T18+T48</f>
        <v>-211107.58</v>
      </c>
      <c r="U50" s="13"/>
      <c r="V50" s="20">
        <f>IF(T$12=0,0,T50/T$12)</f>
        <v>0</v>
      </c>
      <c r="W50" s="15"/>
      <c r="X50" s="22">
        <f>+P50-T50</f>
        <v>28437.010000000009</v>
      </c>
      <c r="Y50" s="15"/>
      <c r="Z50" s="20">
        <f>IF(T50=0,0,X50/T50)</f>
        <v>-0.1347038794154147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127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6" t="s">
        <v>125</v>
      </c>
      <c r="C54" s="26"/>
      <c r="D54" s="33">
        <f>+D50-D52</f>
        <v>-49361.08</v>
      </c>
      <c r="E54" s="13"/>
      <c r="F54" s="31">
        <f>IF(D$12=0,0,D54/D$12)</f>
        <v>0</v>
      </c>
      <c r="G54" s="13"/>
      <c r="H54" s="33">
        <f>+H50-H52</f>
        <v>-60340.259999999995</v>
      </c>
      <c r="I54" s="13"/>
      <c r="J54" s="31">
        <f>IF(H$12=0,0,H54/H$12)</f>
        <v>0</v>
      </c>
      <c r="K54" s="15"/>
      <c r="L54" s="33">
        <f>D54-H54</f>
        <v>10979.179999999993</v>
      </c>
      <c r="M54" s="15"/>
      <c r="N54" s="31">
        <f>IF(H54=0,0,L54/H54)</f>
        <v>-0.18195446953659122</v>
      </c>
      <c r="O54" s="25"/>
      <c r="P54" s="33">
        <f>+P50-P52</f>
        <v>-182670.56999999998</v>
      </c>
      <c r="Q54" s="13"/>
      <c r="R54" s="31">
        <f>IF(P$12=0,0,P54/P$12)</f>
        <v>0</v>
      </c>
      <c r="S54" s="13"/>
      <c r="T54" s="33">
        <f>+T50-T52</f>
        <v>-211107.58</v>
      </c>
      <c r="U54" s="13"/>
      <c r="V54" s="31">
        <f>IF(T$12=0,0,T54/T$12)</f>
        <v>0</v>
      </c>
      <c r="W54" s="15"/>
      <c r="X54" s="33">
        <f>P54-T54</f>
        <v>28437.010000000009</v>
      </c>
      <c r="Y54" s="15"/>
      <c r="Z54" s="31">
        <f>IF(T54=0,0,X54/T54)</f>
        <v>-0.1347038794154147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6" t="s">
        <v>293</v>
      </c>
      <c r="C57" s="26"/>
      <c r="D57" s="34">
        <f>SUM(D54:D56)</f>
        <v>-49361.08</v>
      </c>
      <c r="E57" s="13"/>
      <c r="F57" s="30">
        <f>IF(D$12=0,0,D57/D$12)</f>
        <v>0</v>
      </c>
      <c r="G57" s="13"/>
      <c r="H57" s="34">
        <f>SUM(H54:H56)</f>
        <v>-60340.259999999995</v>
      </c>
      <c r="I57" s="13"/>
      <c r="J57" s="30">
        <f>IF(H$12=0,0,H57/H$12)</f>
        <v>0</v>
      </c>
      <c r="K57" s="15"/>
      <c r="L57" s="34">
        <f>+D57-H57</f>
        <v>10979.179999999993</v>
      </c>
      <c r="M57" s="15"/>
      <c r="N57" s="30">
        <f>IF(H57=0,0,L57/H57)</f>
        <v>-0.18195446953659122</v>
      </c>
      <c r="O57" s="25"/>
      <c r="P57" s="34">
        <f>SUM(P54:P56)</f>
        <v>-182670.56999999998</v>
      </c>
      <c r="Q57" s="13"/>
      <c r="R57" s="30">
        <f>IF(P$12=0,0,P57/P$12)</f>
        <v>0</v>
      </c>
      <c r="S57" s="13"/>
      <c r="T57" s="34">
        <f>SUM(T54:T56)</f>
        <v>-211107.58</v>
      </c>
      <c r="U57" s="13"/>
      <c r="V57" s="30">
        <f>IF(T$12=0,0,T57/T$12)</f>
        <v>0</v>
      </c>
      <c r="W57" s="15"/>
      <c r="X57" s="34">
        <f>+P57-T57</f>
        <v>28437.010000000009</v>
      </c>
      <c r="Y57" s="15"/>
      <c r="Z57" s="30">
        <f>IF(T57=0,0,X57/T57)</f>
        <v>-0.1347038794154147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61">
        <v>44517.967041516204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7" t="s">
        <v>56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8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9218.3900000000012</v>
      </c>
      <c r="E18" s="21"/>
      <c r="F18" s="36">
        <f t="shared" ref="F18:F27" si="0">IF(D$12=0,0,D18/D$12)</f>
        <v>0</v>
      </c>
      <c r="G18" s="21"/>
      <c r="H18" s="21">
        <f>SUM(OSRRefH22x_0)</f>
        <v>9324.8100000000013</v>
      </c>
      <c r="I18" s="21"/>
      <c r="J18" s="36">
        <f t="shared" ref="J18:J27" si="1">IF(H$12=0,0,H18/H$12)</f>
        <v>0</v>
      </c>
      <c r="K18" s="4"/>
      <c r="L18" s="21">
        <f t="shared" ref="L18:L27" si="2">+D18-H18</f>
        <v>-106.42000000000007</v>
      </c>
      <c r="M18" s="4"/>
      <c r="N18" s="36">
        <f t="shared" ref="N18:N27" si="3">IF(H18=0,0,L18/H18)</f>
        <v>-1.1412564974514232E-2</v>
      </c>
      <c r="O18" s="10"/>
      <c r="P18" s="21">
        <f>SUM(OSRRefP22x_0)</f>
        <v>31440.32</v>
      </c>
      <c r="Q18" s="21"/>
      <c r="R18" s="36">
        <f t="shared" ref="R18:R27" si="4">IF(P$12=0,0,P18/P$12)</f>
        <v>0</v>
      </c>
      <c r="S18" s="21"/>
      <c r="T18" s="21">
        <f>SUM(OSRRefT22x_0)</f>
        <v>33452.769999999997</v>
      </c>
      <c r="U18" s="21"/>
      <c r="V18" s="36">
        <f t="shared" ref="V18:V27" si="5">IF(T$12=0,0,T18/T$12)</f>
        <v>0</v>
      </c>
      <c r="W18" s="4"/>
      <c r="X18" s="21">
        <f t="shared" ref="X18:X27" si="6">+P18-T18</f>
        <v>-2012.4499999999971</v>
      </c>
      <c r="Y18" s="4"/>
      <c r="Z18" s="36">
        <f t="shared" ref="Z18:Z27" si="7">IF(T18=0,0,X18/T18)</f>
        <v>-6.015794805631932E-2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3867.69</v>
      </c>
      <c r="E19" s="1"/>
      <c r="F19" s="5">
        <f t="shared" si="0"/>
        <v>0</v>
      </c>
      <c r="G19" s="1"/>
      <c r="H19" s="1">
        <f>SUM(OSRRefH22_0x_0)</f>
        <v>2395.64</v>
      </c>
      <c r="I19" s="1"/>
      <c r="J19" s="5">
        <f t="shared" si="1"/>
        <v>0</v>
      </c>
      <c r="K19" s="1"/>
      <c r="L19" s="1">
        <f t="shared" si="2"/>
        <v>1472.0500000000002</v>
      </c>
      <c r="M19" s="1"/>
      <c r="N19" s="5">
        <f t="shared" si="3"/>
        <v>0.61447045465929784</v>
      </c>
      <c r="O19" s="14"/>
      <c r="P19" s="1">
        <f>SUM(OSRRefP22_0x_0)</f>
        <v>10246.25</v>
      </c>
      <c r="Q19" s="1"/>
      <c r="R19" s="5">
        <f t="shared" si="4"/>
        <v>0</v>
      </c>
      <c r="S19" s="1"/>
      <c r="T19" s="1">
        <f>SUM(OSRRefT22_0x_0)</f>
        <v>9649.56</v>
      </c>
      <c r="U19" s="1"/>
      <c r="V19" s="5">
        <f t="shared" si="5"/>
        <v>0</v>
      </c>
      <c r="W19" s="1"/>
      <c r="X19" s="1">
        <f t="shared" si="6"/>
        <v>596.69000000000051</v>
      </c>
      <c r="Y19" s="1"/>
      <c r="Z19" s="5">
        <f t="shared" si="7"/>
        <v>6.1835980086138699E-2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487.83</v>
      </c>
      <c r="E20" s="2"/>
      <c r="F20" s="7">
        <f t="shared" si="0"/>
        <v>0</v>
      </c>
      <c r="G20" s="2"/>
      <c r="H20" s="6">
        <v>473.76</v>
      </c>
      <c r="I20" s="2"/>
      <c r="J20" s="7">
        <f t="shared" si="1"/>
        <v>0</v>
      </c>
      <c r="K20" s="2"/>
      <c r="L20" s="6">
        <f t="shared" si="2"/>
        <v>14.069999999999993</v>
      </c>
      <c r="M20" s="2"/>
      <c r="N20" s="7">
        <f t="shared" si="3"/>
        <v>2.9698581560283675E-2</v>
      </c>
      <c r="O20" s="11"/>
      <c r="P20" s="6">
        <v>1478.46</v>
      </c>
      <c r="Q20" s="2"/>
      <c r="R20" s="7">
        <f t="shared" si="4"/>
        <v>0</v>
      </c>
      <c r="S20" s="2"/>
      <c r="T20" s="6">
        <v>1424</v>
      </c>
      <c r="U20" s="2"/>
      <c r="V20" s="7">
        <f t="shared" si="5"/>
        <v>0</v>
      </c>
      <c r="W20" s="2"/>
      <c r="X20" s="6">
        <f t="shared" si="6"/>
        <v>54.460000000000036</v>
      </c>
      <c r="Y20" s="2"/>
      <c r="Z20" s="7">
        <f t="shared" si="7"/>
        <v>3.8244382022471934E-2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352.28</v>
      </c>
      <c r="E21" s="2"/>
      <c r="F21" s="7">
        <f t="shared" si="0"/>
        <v>0</v>
      </c>
      <c r="G21" s="2"/>
      <c r="H21" s="6">
        <v>286.13</v>
      </c>
      <c r="I21" s="2"/>
      <c r="J21" s="7">
        <f t="shared" si="1"/>
        <v>0</v>
      </c>
      <c r="K21" s="2"/>
      <c r="L21" s="6">
        <f t="shared" si="2"/>
        <v>66.149999999999977</v>
      </c>
      <c r="M21" s="2"/>
      <c r="N21" s="7">
        <f t="shared" si="3"/>
        <v>0.23118862055708936</v>
      </c>
      <c r="O21" s="11"/>
      <c r="P21" s="6">
        <v>1061.8499999999999</v>
      </c>
      <c r="Q21" s="2"/>
      <c r="R21" s="7">
        <f t="shared" si="4"/>
        <v>0</v>
      </c>
      <c r="S21" s="2"/>
      <c r="T21" s="6">
        <v>1146.98</v>
      </c>
      <c r="U21" s="2"/>
      <c r="V21" s="7">
        <f t="shared" si="5"/>
        <v>0</v>
      </c>
      <c r="W21" s="2"/>
      <c r="X21" s="6">
        <f t="shared" si="6"/>
        <v>-85.130000000000109</v>
      </c>
      <c r="Y21" s="2"/>
      <c r="Z21" s="7">
        <f t="shared" si="7"/>
        <v>-7.4220997750614748E-2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2795.89</v>
      </c>
      <c r="Q22" s="2"/>
      <c r="R22" s="7">
        <f t="shared" si="4"/>
        <v>0</v>
      </c>
      <c r="S22" s="2"/>
      <c r="T22" s="6">
        <v>2784.64</v>
      </c>
      <c r="U22" s="2"/>
      <c r="V22" s="7">
        <f t="shared" si="5"/>
        <v>0</v>
      </c>
      <c r="W22" s="2"/>
      <c r="X22" s="6">
        <f t="shared" si="6"/>
        <v>11.25</v>
      </c>
      <c r="Y22" s="2"/>
      <c r="Z22" s="7">
        <f t="shared" si="7"/>
        <v>4.0400195357389104E-3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16.559999999999999</v>
      </c>
      <c r="E23" s="2"/>
      <c r="F23" s="7">
        <f t="shared" si="0"/>
        <v>0</v>
      </c>
      <c r="G23" s="2"/>
      <c r="H23" s="6">
        <v>10.74</v>
      </c>
      <c r="I23" s="2"/>
      <c r="J23" s="7">
        <f t="shared" si="1"/>
        <v>0</v>
      </c>
      <c r="K23" s="2"/>
      <c r="L23" s="6">
        <f t="shared" si="2"/>
        <v>5.8199999999999985</v>
      </c>
      <c r="M23" s="2"/>
      <c r="N23" s="7">
        <f t="shared" si="3"/>
        <v>0.54189944134078194</v>
      </c>
      <c r="O23" s="11"/>
      <c r="P23" s="6">
        <v>49.92</v>
      </c>
      <c r="Q23" s="2"/>
      <c r="R23" s="7">
        <f t="shared" si="4"/>
        <v>0</v>
      </c>
      <c r="S23" s="2"/>
      <c r="T23" s="6">
        <v>43.05</v>
      </c>
      <c r="U23" s="2"/>
      <c r="V23" s="7">
        <f t="shared" si="5"/>
        <v>0</v>
      </c>
      <c r="W23" s="2"/>
      <c r="X23" s="6">
        <f t="shared" si="6"/>
        <v>6.8700000000000045</v>
      </c>
      <c r="Y23" s="2"/>
      <c r="Z23" s="7">
        <f t="shared" si="7"/>
        <v>0.15958188153310116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685.4</v>
      </c>
      <c r="E24" s="2"/>
      <c r="F24" s="7">
        <f t="shared" si="0"/>
        <v>0</v>
      </c>
      <c r="G24" s="2"/>
      <c r="H24" s="6">
        <v>463.27</v>
      </c>
      <c r="I24" s="2"/>
      <c r="J24" s="7">
        <f t="shared" si="1"/>
        <v>0</v>
      </c>
      <c r="K24" s="2"/>
      <c r="L24" s="6">
        <f t="shared" si="2"/>
        <v>222.13</v>
      </c>
      <c r="M24" s="2"/>
      <c r="N24" s="7">
        <f t="shared" si="3"/>
        <v>0.47948280700239604</v>
      </c>
      <c r="O24" s="11"/>
      <c r="P24" s="6">
        <v>2056.19</v>
      </c>
      <c r="Q24" s="2"/>
      <c r="R24" s="7">
        <f t="shared" si="4"/>
        <v>0</v>
      </c>
      <c r="S24" s="2"/>
      <c r="T24" s="6">
        <v>2084.7199999999998</v>
      </c>
      <c r="U24" s="2"/>
      <c r="V24" s="7">
        <f t="shared" si="5"/>
        <v>0</v>
      </c>
      <c r="W24" s="2"/>
      <c r="X24" s="6">
        <f t="shared" si="6"/>
        <v>-28.529999999999745</v>
      </c>
      <c r="Y24" s="2"/>
      <c r="Z24" s="7">
        <f t="shared" si="7"/>
        <v>-1.3685291070263512E-2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6">
        <v>1163.8800000000001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1163.8800000000001</v>
      </c>
      <c r="M25" s="2"/>
      <c r="N25" s="7">
        <f t="shared" si="3"/>
        <v>0</v>
      </c>
      <c r="O25" s="11"/>
      <c r="P25" s="6">
        <v>1252.3399999999999</v>
      </c>
      <c r="Q25" s="2"/>
      <c r="R25" s="7">
        <f t="shared" si="4"/>
        <v>0</v>
      </c>
      <c r="S25" s="2"/>
      <c r="T25" s="6">
        <v>645.98</v>
      </c>
      <c r="U25" s="2"/>
      <c r="V25" s="7">
        <f t="shared" si="5"/>
        <v>0</v>
      </c>
      <c r="W25" s="2"/>
      <c r="X25" s="6">
        <f t="shared" si="6"/>
        <v>606.3599999999999</v>
      </c>
      <c r="Y25" s="2"/>
      <c r="Z25" s="7">
        <f t="shared" si="7"/>
        <v>0.93866683179045773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6">
        <v>290.58</v>
      </c>
      <c r="E26" s="2"/>
      <c r="F26" s="7">
        <f t="shared" si="0"/>
        <v>0</v>
      </c>
      <c r="G26" s="2"/>
      <c r="H26" s="6">
        <v>290.58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871.74</v>
      </c>
      <c r="Q26" s="2"/>
      <c r="R26" s="7">
        <f t="shared" si="4"/>
        <v>0</v>
      </c>
      <c r="S26" s="2"/>
      <c r="T26" s="6">
        <v>871.74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6">
        <v>175</v>
      </c>
      <c r="E27" s="2"/>
      <c r="F27" s="7">
        <f t="shared" si="0"/>
        <v>0</v>
      </c>
      <c r="G27" s="2"/>
      <c r="H27" s="6">
        <v>175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679.86</v>
      </c>
      <c r="Q27" s="2"/>
      <c r="R27" s="7">
        <f t="shared" si="4"/>
        <v>0</v>
      </c>
      <c r="S27" s="2"/>
      <c r="T27" s="6">
        <v>648.45000000000005</v>
      </c>
      <c r="U27" s="2"/>
      <c r="V27" s="7">
        <f t="shared" si="5"/>
        <v>0</v>
      </c>
      <c r="W27" s="2"/>
      <c r="X27" s="6">
        <f t="shared" si="6"/>
        <v>31.409999999999968</v>
      </c>
      <c r="Y27" s="2"/>
      <c r="Z27" s="7">
        <f t="shared" si="7"/>
        <v>4.8438584316446862E-2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5059.3100000000004</v>
      </c>
      <c r="E28" s="1"/>
      <c r="F28" s="5">
        <f t="shared" ref="F28:F36" si="8">IF(D$12=0,0,D28/D$12)</f>
        <v>0</v>
      </c>
      <c r="G28" s="1"/>
      <c r="H28" s="1">
        <f>SUM(OSRRefH22_1x_0)</f>
        <v>5249.61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-190.29999999999927</v>
      </c>
      <c r="M28" s="1"/>
      <c r="N28" s="5">
        <f t="shared" ref="N28:N36" si="11">IF(H28=0,0,L28/H28)</f>
        <v>-3.6250311927933557E-2</v>
      </c>
      <c r="O28" s="14"/>
      <c r="P28" s="1">
        <f>SUM(OSRRefP22_1x_0)</f>
        <v>17802.98</v>
      </c>
      <c r="Q28" s="1"/>
      <c r="R28" s="5">
        <f t="shared" ref="R28:R36" si="12">IF(P$12=0,0,P28/P$12)</f>
        <v>0</v>
      </c>
      <c r="S28" s="1"/>
      <c r="T28" s="1">
        <f>SUM(OSRRefT22_1x_0)</f>
        <v>18268.86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-465.88000000000102</v>
      </c>
      <c r="Y28" s="1"/>
      <c r="Z28" s="5">
        <f t="shared" ref="Z28:Z36" si="15">IF(T28=0,0,X28/T28)</f>
        <v>-2.5501317542528708E-2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6">
        <v>5059.3100000000004</v>
      </c>
      <c r="E29" s="2"/>
      <c r="F29" s="7">
        <f t="shared" si="8"/>
        <v>0</v>
      </c>
      <c r="G29" s="2"/>
      <c r="H29" s="6">
        <v>5249.61</v>
      </c>
      <c r="I29" s="2"/>
      <c r="J29" s="7">
        <f t="shared" si="9"/>
        <v>0</v>
      </c>
      <c r="K29" s="2"/>
      <c r="L29" s="6">
        <f t="shared" si="10"/>
        <v>-190.29999999999927</v>
      </c>
      <c r="M29" s="2"/>
      <c r="N29" s="7">
        <f t="shared" si="11"/>
        <v>-3.6250311927933557E-2</v>
      </c>
      <c r="O29" s="11"/>
      <c r="P29" s="6">
        <v>17802.98</v>
      </c>
      <c r="Q29" s="2"/>
      <c r="R29" s="7">
        <f t="shared" si="12"/>
        <v>0</v>
      </c>
      <c r="S29" s="2"/>
      <c r="T29" s="6">
        <v>18268.86</v>
      </c>
      <c r="U29" s="2"/>
      <c r="V29" s="7">
        <f t="shared" si="13"/>
        <v>0</v>
      </c>
      <c r="W29" s="2"/>
      <c r="X29" s="6">
        <f t="shared" si="14"/>
        <v>-465.88000000000102</v>
      </c>
      <c r="Y29" s="2"/>
      <c r="Z29" s="7">
        <f t="shared" si="15"/>
        <v>-2.5501317542528708E-2</v>
      </c>
    </row>
    <row r="30" spans="1:26" s="28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-906.57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-906.57</v>
      </c>
      <c r="M30" s="1"/>
      <c r="N30" s="5">
        <f t="shared" si="11"/>
        <v>0</v>
      </c>
      <c r="O30" s="14"/>
      <c r="P30" s="1">
        <f>SUM(OSRRefP22_2x_0)</f>
        <v>-906.57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-906.57</v>
      </c>
      <c r="Y30" s="1"/>
      <c r="Z30" s="5">
        <f t="shared" si="15"/>
        <v>0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6">
        <v>-906.57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-906.57</v>
      </c>
      <c r="M31" s="2"/>
      <c r="N31" s="7">
        <f t="shared" si="11"/>
        <v>0</v>
      </c>
      <c r="O31" s="11"/>
      <c r="P31" s="6">
        <v>-906.57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-906.57</v>
      </c>
      <c r="Y31" s="2"/>
      <c r="Z31" s="7">
        <f t="shared" si="15"/>
        <v>0</v>
      </c>
    </row>
    <row r="32" spans="1:26" s="28" customFormat="1" outlineLevel="1" collapsed="1" x14ac:dyDescent="0.25">
      <c r="A32" s="27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33.380000000000003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8.8200000000000038</v>
      </c>
      <c r="M32" s="1"/>
      <c r="N32" s="5">
        <f t="shared" si="11"/>
        <v>0.3591205211726386</v>
      </c>
      <c r="O32" s="14"/>
      <c r="P32" s="1">
        <f>SUM(OSRRefP22_3x_0)</f>
        <v>133.52000000000001</v>
      </c>
      <c r="Q32" s="1"/>
      <c r="R32" s="5">
        <f t="shared" si="12"/>
        <v>0</v>
      </c>
      <c r="S32" s="1"/>
      <c r="T32" s="1">
        <f>SUM(OSRRefT22_3x_0)</f>
        <v>98.24</v>
      </c>
      <c r="U32" s="1"/>
      <c r="V32" s="5">
        <f t="shared" si="13"/>
        <v>0</v>
      </c>
      <c r="W32" s="1"/>
      <c r="X32" s="1">
        <f t="shared" si="14"/>
        <v>35.280000000000015</v>
      </c>
      <c r="Y32" s="1"/>
      <c r="Z32" s="5">
        <f t="shared" si="15"/>
        <v>0.3591205211726386</v>
      </c>
    </row>
    <row r="33" spans="1:26" s="24" customFormat="1" hidden="1" outlineLevel="2" x14ac:dyDescent="0.25">
      <c r="A33" s="29"/>
      <c r="B33" s="11" t="str">
        <f>CONCATENATE("          ", "6314", " - ", "LIABILITY INSURANCE")</f>
        <v xml:space="preserve">          6314 - LIABILITY INSURANCE</v>
      </c>
      <c r="C33" s="11"/>
      <c r="D33" s="6">
        <v>33.380000000000003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8.8200000000000038</v>
      </c>
      <c r="M33" s="2"/>
      <c r="N33" s="7">
        <f t="shared" si="11"/>
        <v>0.3591205211726386</v>
      </c>
      <c r="O33" s="11"/>
      <c r="P33" s="6">
        <v>133.52000000000001</v>
      </c>
      <c r="Q33" s="2"/>
      <c r="R33" s="7">
        <f t="shared" si="12"/>
        <v>0</v>
      </c>
      <c r="S33" s="2"/>
      <c r="T33" s="6">
        <v>98.24</v>
      </c>
      <c r="U33" s="2"/>
      <c r="V33" s="7">
        <f t="shared" si="13"/>
        <v>0</v>
      </c>
      <c r="W33" s="2"/>
      <c r="X33" s="6">
        <f t="shared" si="14"/>
        <v>35.280000000000015</v>
      </c>
      <c r="Y33" s="2"/>
      <c r="Z33" s="7">
        <f t="shared" si="15"/>
        <v>0.3591205211726386</v>
      </c>
    </row>
    <row r="34" spans="1:26" s="28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991.58</v>
      </c>
      <c r="E34" s="1"/>
      <c r="F34" s="5">
        <f t="shared" si="8"/>
        <v>0</v>
      </c>
      <c r="G34" s="1"/>
      <c r="H34" s="1">
        <f>SUM(OSRRefH22_4x_0)</f>
        <v>1732</v>
      </c>
      <c r="I34" s="1"/>
      <c r="J34" s="5">
        <f t="shared" si="9"/>
        <v>0</v>
      </c>
      <c r="K34" s="1"/>
      <c r="L34" s="1">
        <f t="shared" si="10"/>
        <v>-740.42</v>
      </c>
      <c r="M34" s="1"/>
      <c r="N34" s="5">
        <f t="shared" si="11"/>
        <v>-0.42749422632794454</v>
      </c>
      <c r="O34" s="14"/>
      <c r="P34" s="1">
        <f>SUM(OSRRefP22_4x_0)</f>
        <v>3721.04</v>
      </c>
      <c r="Q34" s="1"/>
      <c r="R34" s="5">
        <f t="shared" si="12"/>
        <v>0</v>
      </c>
      <c r="S34" s="1"/>
      <c r="T34" s="1">
        <f>SUM(OSRRefT22_4x_0)</f>
        <v>5149.1900000000005</v>
      </c>
      <c r="U34" s="1"/>
      <c r="V34" s="5">
        <f t="shared" si="13"/>
        <v>0</v>
      </c>
      <c r="W34" s="1"/>
      <c r="X34" s="1">
        <f t="shared" si="14"/>
        <v>-1428.1500000000005</v>
      </c>
      <c r="Y34" s="1"/>
      <c r="Z34" s="5">
        <f t="shared" si="15"/>
        <v>-0.27735430232716224</v>
      </c>
    </row>
    <row r="35" spans="1:26" s="24" customFormat="1" hidden="1" outlineLevel="2" x14ac:dyDescent="0.25">
      <c r="A35" s="29"/>
      <c r="B35" s="11" t="str">
        <f>CONCATENATE("          ", "6373", " - ", "MAINTENANCE CONTRACTS")</f>
        <v xml:space="preserve">          6373 - MAINTENANCE CONTRACTS</v>
      </c>
      <c r="C35" s="11"/>
      <c r="D35" s="6">
        <v>918.74</v>
      </c>
      <c r="E35" s="2"/>
      <c r="F35" s="7">
        <f t="shared" si="8"/>
        <v>0</v>
      </c>
      <c r="G35" s="2"/>
      <c r="H35" s="6">
        <v>866</v>
      </c>
      <c r="I35" s="2"/>
      <c r="J35" s="7">
        <f t="shared" si="9"/>
        <v>0</v>
      </c>
      <c r="K35" s="2"/>
      <c r="L35" s="6">
        <f t="shared" si="10"/>
        <v>52.740000000000009</v>
      </c>
      <c r="M35" s="2"/>
      <c r="N35" s="7">
        <f t="shared" si="11"/>
        <v>6.0900692840646663E-2</v>
      </c>
      <c r="O35" s="11"/>
      <c r="P35" s="6">
        <v>3648.2</v>
      </c>
      <c r="Q35" s="2"/>
      <c r="R35" s="7">
        <f t="shared" si="12"/>
        <v>0</v>
      </c>
      <c r="S35" s="2"/>
      <c r="T35" s="6">
        <v>3464</v>
      </c>
      <c r="U35" s="2"/>
      <c r="V35" s="7">
        <f t="shared" si="13"/>
        <v>0</v>
      </c>
      <c r="W35" s="2"/>
      <c r="X35" s="6">
        <f t="shared" si="14"/>
        <v>184.19999999999982</v>
      </c>
      <c r="Y35" s="2"/>
      <c r="Z35" s="7">
        <f t="shared" si="15"/>
        <v>5.3175519630484933E-2</v>
      </c>
    </row>
    <row r="36" spans="1:26" s="24" customFormat="1" hidden="1" outlineLevel="2" x14ac:dyDescent="0.25">
      <c r="A36" s="29"/>
      <c r="B36" s="11" t="str">
        <f>CONCATENATE("          ", "6375", " - ", "OUTSIDE REPAIRS &amp; MAINTENANCE")</f>
        <v xml:space="preserve">          6375 - OUTSIDE REPAIRS &amp; MAINTENANCE</v>
      </c>
      <c r="C36" s="11"/>
      <c r="D36" s="6">
        <v>72.84</v>
      </c>
      <c r="E36" s="2"/>
      <c r="F36" s="7">
        <f t="shared" si="8"/>
        <v>0</v>
      </c>
      <c r="G36" s="2"/>
      <c r="H36" s="6">
        <v>866</v>
      </c>
      <c r="I36" s="2"/>
      <c r="J36" s="7">
        <f t="shared" si="9"/>
        <v>0</v>
      </c>
      <c r="K36" s="2"/>
      <c r="L36" s="6">
        <f t="shared" si="10"/>
        <v>-793.16</v>
      </c>
      <c r="M36" s="2"/>
      <c r="N36" s="7">
        <f t="shared" si="11"/>
        <v>-0.91588914549653577</v>
      </c>
      <c r="O36" s="11"/>
      <c r="P36" s="6">
        <v>72.84</v>
      </c>
      <c r="Q36" s="2"/>
      <c r="R36" s="7">
        <f t="shared" si="12"/>
        <v>0</v>
      </c>
      <c r="S36" s="2"/>
      <c r="T36" s="6">
        <v>1685.19</v>
      </c>
      <c r="U36" s="2"/>
      <c r="V36" s="7">
        <f t="shared" si="13"/>
        <v>0</v>
      </c>
      <c r="W36" s="2"/>
      <c r="X36" s="6">
        <f t="shared" si="14"/>
        <v>-1612.3500000000001</v>
      </c>
      <c r="Y36" s="2"/>
      <c r="Z36" s="7">
        <f t="shared" si="15"/>
        <v>-0.9567763872323003</v>
      </c>
    </row>
    <row r="37" spans="1:26" s="28" customFormat="1" outlineLevel="1" collapsed="1" x14ac:dyDescent="0.25">
      <c r="A37" s="27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ref="F37:F39" si="16">IF(D$12=0,0,D37/D$12)</f>
        <v>0</v>
      </c>
      <c r="G37" s="1"/>
      <c r="H37" s="1">
        <f>SUM(OSRRefH22_5x_0)</f>
        <v>0</v>
      </c>
      <c r="I37" s="1"/>
      <c r="J37" s="5">
        <f t="shared" ref="J37:J39" si="17">IF(H$12=0,0,H37/H$12)</f>
        <v>0</v>
      </c>
      <c r="K37" s="1"/>
      <c r="L37" s="1">
        <f t="shared" ref="L37:L39" si="18">+D37-H37</f>
        <v>0</v>
      </c>
      <c r="M37" s="1"/>
      <c r="N37" s="5">
        <f t="shared" ref="N37:N39" si="19">IF(H37=0,0,L37/H37)</f>
        <v>0</v>
      </c>
      <c r="O37" s="14"/>
      <c r="P37" s="1">
        <f>SUM(OSRRefP22_5x_0)</f>
        <v>26.1</v>
      </c>
      <c r="Q37" s="1"/>
      <c r="R37" s="5">
        <f t="shared" ref="R37:R39" si="20">IF(P$12=0,0,P37/P$12)</f>
        <v>0</v>
      </c>
      <c r="S37" s="1"/>
      <c r="T37" s="1">
        <f>SUM(OSRRefT22_5x_0)</f>
        <v>15.92</v>
      </c>
      <c r="U37" s="1"/>
      <c r="V37" s="5">
        <f t="shared" ref="V37:V39" si="21">IF(T$12=0,0,T37/T$12)</f>
        <v>0</v>
      </c>
      <c r="W37" s="1"/>
      <c r="X37" s="1">
        <f t="shared" ref="X37:X39" si="22">+P37-T37</f>
        <v>10.180000000000001</v>
      </c>
      <c r="Y37" s="1"/>
      <c r="Z37" s="5">
        <f t="shared" ref="Z37:Z39" si="23">IF(T37=0,0,X37/T37)</f>
        <v>0.6394472361809046</v>
      </c>
    </row>
    <row r="38" spans="1:26" s="24" customFormat="1" hidden="1" outlineLevel="2" x14ac:dyDescent="0.25">
      <c r="A38" s="29"/>
      <c r="B38" s="11" t="str">
        <f>CONCATENATE("          ", "6234", " - ", "EXPENDABLE SUPPLIES &amp; EQUIPMEN")</f>
        <v xml:space="preserve">          6234 - EXPENDABLE SUPPLIES &amp; EQUIPMEN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26.1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26.1</v>
      </c>
      <c r="Y38" s="2"/>
      <c r="Z38" s="7">
        <f t="shared" si="23"/>
        <v>0</v>
      </c>
    </row>
    <row r="39" spans="1:26" s="24" customFormat="1" hidden="1" outlineLevel="2" x14ac:dyDescent="0.25">
      <c r="A39" s="29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15.92</v>
      </c>
      <c r="U39" s="2"/>
      <c r="V39" s="7">
        <f t="shared" si="21"/>
        <v>0</v>
      </c>
      <c r="W39" s="2"/>
      <c r="X39" s="6">
        <f t="shared" si="22"/>
        <v>-15.92</v>
      </c>
      <c r="Y39" s="2"/>
      <c r="Z39" s="7">
        <f t="shared" si="23"/>
        <v>-1</v>
      </c>
    </row>
    <row r="40" spans="1:26" s="28" customFormat="1" outlineLevel="1" collapsed="1" x14ac:dyDescent="0.25">
      <c r="A40" s="27"/>
      <c r="B40" s="14" t="str">
        <f>CONCATENATE("     ","Telephone/Data Lines                              ")</f>
        <v xml:space="preserve">     Telephone/Data Lines                              </v>
      </c>
      <c r="C40" s="14"/>
      <c r="D40" s="1">
        <f>SUM(OSRRefD22_6x_0)</f>
        <v>173</v>
      </c>
      <c r="E40" s="1"/>
      <c r="F40" s="5">
        <f t="shared" ref="F40:F41" si="24">IF(D$12=0,0,D40/D$12)</f>
        <v>0</v>
      </c>
      <c r="G40" s="1"/>
      <c r="H40" s="1">
        <f>SUM(OSRRefH22_6x_0)</f>
        <v>-77</v>
      </c>
      <c r="I40" s="1"/>
      <c r="J40" s="5">
        <f t="shared" ref="J40:J41" si="25">IF(H$12=0,0,H40/H$12)</f>
        <v>0</v>
      </c>
      <c r="K40" s="1"/>
      <c r="L40" s="1">
        <f t="shared" ref="L40:L41" si="26">+D40-H40</f>
        <v>250</v>
      </c>
      <c r="M40" s="1"/>
      <c r="N40" s="5">
        <f t="shared" ref="N40:N41" si="27">IF(H40=0,0,L40/H40)</f>
        <v>-3.2467532467532467</v>
      </c>
      <c r="O40" s="14"/>
      <c r="P40" s="1">
        <f>SUM(OSRRefP22_6x_0)</f>
        <v>417</v>
      </c>
      <c r="Q40" s="1"/>
      <c r="R40" s="5">
        <f t="shared" ref="R40:R41" si="28">IF(P$12=0,0,P40/P$12)</f>
        <v>0</v>
      </c>
      <c r="S40" s="1"/>
      <c r="T40" s="1">
        <f>SUM(OSRRefT22_6x_0)</f>
        <v>271</v>
      </c>
      <c r="U40" s="1"/>
      <c r="V40" s="5">
        <f t="shared" ref="V40:V41" si="29">IF(T$12=0,0,T40/T$12)</f>
        <v>0</v>
      </c>
      <c r="W40" s="1"/>
      <c r="X40" s="1">
        <f t="shared" ref="X40:X41" si="30">+P40-T40</f>
        <v>146</v>
      </c>
      <c r="Y40" s="1"/>
      <c r="Z40" s="5">
        <f t="shared" ref="Z40:Z41" si="31">IF(T40=0,0,X40/T40)</f>
        <v>0.53874538745387457</v>
      </c>
    </row>
    <row r="41" spans="1:26" s="24" customFormat="1" hidden="1" outlineLevel="2" x14ac:dyDescent="0.25">
      <c r="A41" s="29"/>
      <c r="B41" s="11" t="str">
        <f>CONCATENATE("          ", "6309", " - ", "TELEPHONE")</f>
        <v xml:space="preserve">          6309 - TELEPHONE</v>
      </c>
      <c r="C41" s="11"/>
      <c r="D41" s="6">
        <v>173</v>
      </c>
      <c r="E41" s="2"/>
      <c r="F41" s="7">
        <f t="shared" si="24"/>
        <v>0</v>
      </c>
      <c r="G41" s="2"/>
      <c r="H41" s="6">
        <v>-77</v>
      </c>
      <c r="I41" s="2"/>
      <c r="J41" s="7">
        <f t="shared" si="25"/>
        <v>0</v>
      </c>
      <c r="K41" s="2"/>
      <c r="L41" s="6">
        <f t="shared" si="26"/>
        <v>250</v>
      </c>
      <c r="M41" s="2"/>
      <c r="N41" s="7">
        <f t="shared" si="27"/>
        <v>-3.2467532467532467</v>
      </c>
      <c r="O41" s="11"/>
      <c r="P41" s="6">
        <v>417</v>
      </c>
      <c r="Q41" s="2"/>
      <c r="R41" s="7">
        <f t="shared" si="28"/>
        <v>0</v>
      </c>
      <c r="S41" s="2"/>
      <c r="T41" s="6">
        <v>271</v>
      </c>
      <c r="U41" s="2"/>
      <c r="V41" s="7">
        <f t="shared" si="29"/>
        <v>0</v>
      </c>
      <c r="W41" s="2"/>
      <c r="X41" s="6">
        <f t="shared" si="30"/>
        <v>146</v>
      </c>
      <c r="Y41" s="2"/>
      <c r="Z41" s="7">
        <f t="shared" si="31"/>
        <v>0.53874538745387457</v>
      </c>
    </row>
    <row r="42" spans="1:26" s="56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5" t="s">
        <v>292</v>
      </c>
      <c r="C43" s="10"/>
      <c r="D43" s="4">
        <f>SUM(0)</f>
        <v>0</v>
      </c>
      <c r="E43" s="4"/>
      <c r="F43" s="12">
        <f>IF(D$12=0,0,D43/D$12)</f>
        <v>0</v>
      </c>
      <c r="G43" s="4"/>
      <c r="H43" s="4">
        <f>SUM(0)</f>
        <v>0</v>
      </c>
      <c r="I43" s="4"/>
      <c r="J43" s="12">
        <f>IF(H$12=0,0,H43/H$12)</f>
        <v>0</v>
      </c>
      <c r="K43" s="4"/>
      <c r="L43" s="4">
        <f>+D43-H43</f>
        <v>0</v>
      </c>
      <c r="M43" s="4"/>
      <c r="N43" s="12">
        <f>IF(H43=0,0,L43/H43)</f>
        <v>0</v>
      </c>
      <c r="O43" s="10"/>
      <c r="P43" s="4">
        <f>SUM(0)</f>
        <v>0</v>
      </c>
      <c r="Q43" s="4"/>
      <c r="R43" s="12">
        <f>IF(P$12=0,0,P43/P$12)</f>
        <v>0</v>
      </c>
      <c r="S43" s="4"/>
      <c r="T43" s="4">
        <f>SUM(0)</f>
        <v>0</v>
      </c>
      <c r="U43" s="4"/>
      <c r="V43" s="12">
        <f>IF(T$12=0,0,T43/T$12)</f>
        <v>0</v>
      </c>
      <c r="W43" s="4"/>
      <c r="X43" s="4">
        <f>+P43-T43</f>
        <v>0</v>
      </c>
      <c r="Y43" s="4"/>
      <c r="Z43" s="12">
        <f>IF(T43=0,0,X43/T43)</f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276</v>
      </c>
      <c r="C45" s="26"/>
      <c r="D45" s="22">
        <f>+D16-D18+D43</f>
        <v>-9218.3900000000012</v>
      </c>
      <c r="E45" s="13"/>
      <c r="F45" s="20">
        <f>IF(D$12=0,0,D45/D$12)</f>
        <v>0</v>
      </c>
      <c r="G45" s="13"/>
      <c r="H45" s="22">
        <f>+H16-H18+H43</f>
        <v>-9324.8100000000013</v>
      </c>
      <c r="I45" s="13"/>
      <c r="J45" s="20">
        <f>IF(H$12=0,0,H45/H$12)</f>
        <v>0</v>
      </c>
      <c r="K45" s="15"/>
      <c r="L45" s="22">
        <f>+D45-H45</f>
        <v>106.42000000000007</v>
      </c>
      <c r="M45" s="15"/>
      <c r="N45" s="20">
        <f>IF(H45=0,0,L45/H45)</f>
        <v>-1.1412564974514232E-2</v>
      </c>
      <c r="O45" s="25"/>
      <c r="P45" s="22">
        <f>+P16-P18+P43</f>
        <v>-31440.32</v>
      </c>
      <c r="Q45" s="13"/>
      <c r="R45" s="20">
        <f>IF(P$12=0,0,P45/P$12)</f>
        <v>0</v>
      </c>
      <c r="S45" s="13"/>
      <c r="T45" s="22">
        <f>+T16-T18+T43</f>
        <v>-33452.769999999997</v>
      </c>
      <c r="U45" s="13"/>
      <c r="V45" s="20">
        <f>IF(T$12=0,0,T45/T$12)</f>
        <v>0</v>
      </c>
      <c r="W45" s="15"/>
      <c r="X45" s="22">
        <f>+P45-T45</f>
        <v>2012.4499999999971</v>
      </c>
      <c r="Y45" s="15"/>
      <c r="Z45" s="20">
        <f>IF(T45=0,0,X45/T45)</f>
        <v>-6.015794805631932E-2</v>
      </c>
    </row>
    <row r="46" spans="1:26" x14ac:dyDescent="0.25">
      <c r="A46" s="9"/>
      <c r="B46" s="10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51"/>
      <c r="B47" s="10" t="s">
        <v>127</v>
      </c>
      <c r="C47" s="10"/>
      <c r="D47" s="4"/>
      <c r="E47" s="4"/>
      <c r="F47" s="12">
        <f>IF(D$12=0,0,D47/D$12)</f>
        <v>0</v>
      </c>
      <c r="G47" s="4"/>
      <c r="H47" s="4"/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/>
      <c r="Q47" s="4"/>
      <c r="R47" s="12">
        <f>IF(P$12=0,0,P47/P$12)</f>
        <v>0</v>
      </c>
      <c r="S47" s="4"/>
      <c r="T47" s="4"/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ht="15.75" thickBot="1" x14ac:dyDescent="0.3">
      <c r="A49" s="10"/>
      <c r="B49" s="26" t="s">
        <v>125</v>
      </c>
      <c r="C49" s="26"/>
      <c r="D49" s="33">
        <f>+D45-D47</f>
        <v>-9218.3900000000012</v>
      </c>
      <c r="E49" s="13"/>
      <c r="F49" s="31">
        <f>IF(D$12=0,0,D49/D$12)</f>
        <v>0</v>
      </c>
      <c r="G49" s="13"/>
      <c r="H49" s="33">
        <f>+H45-H47</f>
        <v>-9324.8100000000013</v>
      </c>
      <c r="I49" s="13"/>
      <c r="J49" s="31">
        <f>IF(H$12=0,0,H49/H$12)</f>
        <v>0</v>
      </c>
      <c r="K49" s="15"/>
      <c r="L49" s="33">
        <f>D49-H49</f>
        <v>106.42000000000007</v>
      </c>
      <c r="M49" s="15"/>
      <c r="N49" s="31">
        <f>IF(H49=0,0,L49/H49)</f>
        <v>-1.1412564974514232E-2</v>
      </c>
      <c r="O49" s="25"/>
      <c r="P49" s="33">
        <f>+P45-P47</f>
        <v>-31440.32</v>
      </c>
      <c r="Q49" s="13"/>
      <c r="R49" s="31">
        <f>IF(P$12=0,0,P49/P$12)</f>
        <v>0</v>
      </c>
      <c r="S49" s="13"/>
      <c r="T49" s="33">
        <f>+T45-T47</f>
        <v>-33452.769999999997</v>
      </c>
      <c r="U49" s="13"/>
      <c r="V49" s="31">
        <f>IF(T$12=0,0,T49/T$12)</f>
        <v>0</v>
      </c>
      <c r="W49" s="15"/>
      <c r="X49" s="33">
        <f>P49-T49</f>
        <v>2012.4499999999971</v>
      </c>
      <c r="Y49" s="15"/>
      <c r="Z49" s="31">
        <f>IF(T49=0,0,X49/T49)</f>
        <v>-6.015794805631932E-2</v>
      </c>
    </row>
    <row r="50" spans="1:26" ht="15.75" thickTop="1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6" t="s">
        <v>293</v>
      </c>
      <c r="C52" s="26"/>
      <c r="D52" s="34">
        <f>SUM(D49:D51)</f>
        <v>-9218.3900000000012</v>
      </c>
      <c r="E52" s="13"/>
      <c r="F52" s="30">
        <f>IF(D$12=0,0,D52/D$12)</f>
        <v>0</v>
      </c>
      <c r="G52" s="13"/>
      <c r="H52" s="34">
        <f>SUM(H49:H51)</f>
        <v>-9324.8100000000013</v>
      </c>
      <c r="I52" s="13"/>
      <c r="J52" s="30">
        <f>IF(H$12=0,0,H52/H$12)</f>
        <v>0</v>
      </c>
      <c r="K52" s="15"/>
      <c r="L52" s="34">
        <f>+D52-H52</f>
        <v>106.42000000000007</v>
      </c>
      <c r="M52" s="15"/>
      <c r="N52" s="30">
        <f>IF(H52=0,0,L52/H52)</f>
        <v>-1.1412564974514232E-2</v>
      </c>
      <c r="O52" s="25"/>
      <c r="P52" s="34">
        <f>SUM(P49:P51)</f>
        <v>-31440.32</v>
      </c>
      <c r="Q52" s="13"/>
      <c r="R52" s="30">
        <f>IF(P$12=0,0,P52/P$12)</f>
        <v>0</v>
      </c>
      <c r="S52" s="13"/>
      <c r="T52" s="34">
        <f>SUM(T49:T51)</f>
        <v>-33452.769999999997</v>
      </c>
      <c r="U52" s="13"/>
      <c r="V52" s="30">
        <f>IF(T$12=0,0,T52/T$12)</f>
        <v>0</v>
      </c>
      <c r="W52" s="15"/>
      <c r="X52" s="34">
        <f>+P52-T52</f>
        <v>2012.4499999999971</v>
      </c>
      <c r="Y52" s="15"/>
      <c r="Z52" s="30">
        <f>IF(T52=0,0,X52/T52)</f>
        <v>-6.015794805631932E-2</v>
      </c>
    </row>
    <row r="53" spans="1:26" ht="15.75" thickTop="1" x14ac:dyDescent="0.25">
      <c r="A53" s="9"/>
      <c r="C53" s="9"/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61">
        <v>44517.967041516204</v>
      </c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7" t="s">
        <v>56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8"/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","206", " - ", "Communications")</f>
        <v>Department 206 - Communications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10350.699999999999</v>
      </c>
      <c r="E18" s="21"/>
      <c r="F18" s="36">
        <f t="shared" ref="F18:F26" si="0">IF(D$12=0,0,D18/D$12)</f>
        <v>0</v>
      </c>
      <c r="G18" s="21"/>
      <c r="H18" s="21">
        <f>SUM(OSRRefH22x_0)</f>
        <v>10192.200000000001</v>
      </c>
      <c r="I18" s="21"/>
      <c r="J18" s="36">
        <f t="shared" ref="J18:J26" si="1">IF(H$12=0,0,H18/H$12)</f>
        <v>0</v>
      </c>
      <c r="K18" s="4"/>
      <c r="L18" s="21">
        <f t="shared" ref="L18:L26" si="2">+D18-H18</f>
        <v>158.49999999999818</v>
      </c>
      <c r="M18" s="4"/>
      <c r="N18" s="36">
        <f t="shared" ref="N18:N26" si="3">IF(H18=0,0,L18/H18)</f>
        <v>1.5551107709817132E-2</v>
      </c>
      <c r="O18" s="10"/>
      <c r="P18" s="21">
        <f>SUM(OSRRefP22x_0)</f>
        <v>35891.11</v>
      </c>
      <c r="Q18" s="21"/>
      <c r="R18" s="36">
        <f t="shared" ref="R18:R26" si="4">IF(P$12=0,0,P18/P$12)</f>
        <v>0</v>
      </c>
      <c r="S18" s="21"/>
      <c r="T18" s="21">
        <f>SUM(OSRRefT22x_0)</f>
        <v>36655.49</v>
      </c>
      <c r="U18" s="21"/>
      <c r="V18" s="36">
        <f t="shared" ref="V18:V26" si="5">IF(T$12=0,0,T18/T$12)</f>
        <v>0</v>
      </c>
      <c r="W18" s="4"/>
      <c r="X18" s="21">
        <f t="shared" ref="X18:X26" si="6">+P18-T18</f>
        <v>-764.37999999999738</v>
      </c>
      <c r="Y18" s="4"/>
      <c r="Z18" s="36">
        <f t="shared" ref="Z18:Z26" si="7">IF(T18=0,0,X18/T18)</f>
        <v>-2.0853083671777337E-2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2327.62</v>
      </c>
      <c r="E19" s="1"/>
      <c r="F19" s="5">
        <f t="shared" si="0"/>
        <v>0</v>
      </c>
      <c r="G19" s="1"/>
      <c r="H19" s="1">
        <f>SUM(OSRRefH22_0x_0)</f>
        <v>1891.0900000000001</v>
      </c>
      <c r="I19" s="1"/>
      <c r="J19" s="5">
        <f t="shared" si="1"/>
        <v>0</v>
      </c>
      <c r="K19" s="1"/>
      <c r="L19" s="1">
        <f t="shared" si="2"/>
        <v>436.52999999999975</v>
      </c>
      <c r="M19" s="1"/>
      <c r="N19" s="5">
        <f t="shared" si="3"/>
        <v>0.23083512683161547</v>
      </c>
      <c r="O19" s="14"/>
      <c r="P19" s="1">
        <f>SUM(OSRRefP22_0x_0)</f>
        <v>7944.36</v>
      </c>
      <c r="Q19" s="1"/>
      <c r="R19" s="5">
        <f t="shared" si="4"/>
        <v>0</v>
      </c>
      <c r="S19" s="1"/>
      <c r="T19" s="1">
        <f>SUM(OSRRefT22_0x_0)</f>
        <v>6459.3200000000006</v>
      </c>
      <c r="U19" s="1"/>
      <c r="V19" s="5">
        <f t="shared" si="5"/>
        <v>0</v>
      </c>
      <c r="W19" s="1"/>
      <c r="X19" s="1">
        <f t="shared" si="6"/>
        <v>1485.0399999999991</v>
      </c>
      <c r="Y19" s="1"/>
      <c r="Z19" s="5">
        <f t="shared" si="7"/>
        <v>0.22990655363103221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524.72</v>
      </c>
      <c r="E20" s="2"/>
      <c r="F20" s="7">
        <f t="shared" si="0"/>
        <v>0</v>
      </c>
      <c r="G20" s="2"/>
      <c r="H20" s="6">
        <v>546.95000000000005</v>
      </c>
      <c r="I20" s="2"/>
      <c r="J20" s="7">
        <f t="shared" si="1"/>
        <v>0</v>
      </c>
      <c r="K20" s="2"/>
      <c r="L20" s="6">
        <f t="shared" si="2"/>
        <v>-22.230000000000018</v>
      </c>
      <c r="M20" s="2"/>
      <c r="N20" s="7">
        <f t="shared" si="3"/>
        <v>-4.064356888198193E-2</v>
      </c>
      <c r="O20" s="11"/>
      <c r="P20" s="6">
        <v>1848.82</v>
      </c>
      <c r="Q20" s="2"/>
      <c r="R20" s="7">
        <f t="shared" si="4"/>
        <v>0</v>
      </c>
      <c r="S20" s="2"/>
      <c r="T20" s="6">
        <v>1685.17</v>
      </c>
      <c r="U20" s="2"/>
      <c r="V20" s="7">
        <f t="shared" si="5"/>
        <v>0</v>
      </c>
      <c r="W20" s="2"/>
      <c r="X20" s="6">
        <f t="shared" si="6"/>
        <v>163.64999999999986</v>
      </c>
      <c r="Y20" s="2"/>
      <c r="Z20" s="7">
        <f t="shared" si="7"/>
        <v>9.7111864084929028E-2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117.5</v>
      </c>
      <c r="E21" s="2"/>
      <c r="F21" s="7">
        <f t="shared" si="0"/>
        <v>0</v>
      </c>
      <c r="G21" s="2"/>
      <c r="H21" s="6">
        <v>19</v>
      </c>
      <c r="I21" s="2"/>
      <c r="J21" s="7">
        <f t="shared" si="1"/>
        <v>0</v>
      </c>
      <c r="K21" s="2"/>
      <c r="L21" s="6">
        <f t="shared" si="2"/>
        <v>98.5</v>
      </c>
      <c r="M21" s="2"/>
      <c r="N21" s="7">
        <f t="shared" si="3"/>
        <v>5.1842105263157894</v>
      </c>
      <c r="O21" s="11"/>
      <c r="P21" s="6">
        <v>356.7</v>
      </c>
      <c r="Q21" s="2"/>
      <c r="R21" s="7">
        <f t="shared" si="4"/>
        <v>0</v>
      </c>
      <c r="S21" s="2"/>
      <c r="T21" s="6">
        <v>79.849999999999994</v>
      </c>
      <c r="U21" s="2"/>
      <c r="V21" s="7">
        <f t="shared" si="5"/>
        <v>0</v>
      </c>
      <c r="W21" s="2"/>
      <c r="X21" s="6">
        <f t="shared" si="6"/>
        <v>276.85000000000002</v>
      </c>
      <c r="Y21" s="2"/>
      <c r="Z21" s="7">
        <f t="shared" si="7"/>
        <v>3.4671258609893556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2814.73</v>
      </c>
      <c r="Q22" s="2"/>
      <c r="R22" s="7">
        <f t="shared" si="4"/>
        <v>0</v>
      </c>
      <c r="S22" s="2"/>
      <c r="T22" s="6">
        <v>2803.48</v>
      </c>
      <c r="U22" s="2"/>
      <c r="V22" s="7">
        <f t="shared" si="5"/>
        <v>0</v>
      </c>
      <c r="W22" s="2"/>
      <c r="X22" s="6">
        <f t="shared" si="6"/>
        <v>11.25</v>
      </c>
      <c r="Y22" s="2"/>
      <c r="Z22" s="7">
        <f t="shared" si="7"/>
        <v>4.0128697190634499E-3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23.68</v>
      </c>
      <c r="E23" s="2"/>
      <c r="F23" s="7">
        <f t="shared" si="0"/>
        <v>0</v>
      </c>
      <c r="G23" s="2"/>
      <c r="H23" s="6">
        <v>14.97</v>
      </c>
      <c r="I23" s="2"/>
      <c r="J23" s="7">
        <f t="shared" si="1"/>
        <v>0</v>
      </c>
      <c r="K23" s="2"/>
      <c r="L23" s="6">
        <f t="shared" si="2"/>
        <v>8.7099999999999991</v>
      </c>
      <c r="M23" s="2"/>
      <c r="N23" s="7">
        <f t="shared" si="3"/>
        <v>0.58183032732130924</v>
      </c>
      <c r="O23" s="11"/>
      <c r="P23" s="6">
        <v>71.900000000000006</v>
      </c>
      <c r="Q23" s="2"/>
      <c r="R23" s="7">
        <f t="shared" si="4"/>
        <v>0</v>
      </c>
      <c r="S23" s="2"/>
      <c r="T23" s="6">
        <v>62.92</v>
      </c>
      <c r="U23" s="2"/>
      <c r="V23" s="7">
        <f t="shared" si="5"/>
        <v>0</v>
      </c>
      <c r="W23" s="2"/>
      <c r="X23" s="6">
        <f t="shared" si="6"/>
        <v>8.980000000000004</v>
      </c>
      <c r="Y23" s="2"/>
      <c r="Z23" s="7">
        <f t="shared" si="7"/>
        <v>0.14272091544818824</v>
      </c>
    </row>
    <row r="24" spans="1:26" s="24" customFormat="1" hidden="1" outlineLevel="2" x14ac:dyDescent="0.25">
      <c r="A24" s="29"/>
      <c r="B24" s="11" t="str">
        <f>CONCATENATE("          ", "6118", " - ", "VACATION")</f>
        <v xml:space="preserve">          6118 - VACATION</v>
      </c>
      <c r="C24" s="11"/>
      <c r="D24" s="6">
        <v>414.9</v>
      </c>
      <c r="E24" s="2"/>
      <c r="F24" s="7">
        <f t="shared" si="0"/>
        <v>0</v>
      </c>
      <c r="G24" s="2"/>
      <c r="H24" s="6">
        <v>277.2</v>
      </c>
      <c r="I24" s="2"/>
      <c r="J24" s="7">
        <f t="shared" si="1"/>
        <v>0</v>
      </c>
      <c r="K24" s="2"/>
      <c r="L24" s="6">
        <f t="shared" si="2"/>
        <v>137.69999999999999</v>
      </c>
      <c r="M24" s="2"/>
      <c r="N24" s="7">
        <f t="shared" si="3"/>
        <v>0.49675324675324672</v>
      </c>
      <c r="O24" s="11"/>
      <c r="P24" s="6">
        <v>1244.7</v>
      </c>
      <c r="Q24" s="2"/>
      <c r="R24" s="7">
        <f t="shared" si="4"/>
        <v>0</v>
      </c>
      <c r="S24" s="2"/>
      <c r="T24" s="6">
        <v>831.6</v>
      </c>
      <c r="U24" s="2"/>
      <c r="V24" s="7">
        <f t="shared" si="5"/>
        <v>0</v>
      </c>
      <c r="W24" s="2"/>
      <c r="X24" s="6">
        <f t="shared" si="6"/>
        <v>413.1</v>
      </c>
      <c r="Y24" s="2"/>
      <c r="Z24" s="7">
        <f t="shared" si="7"/>
        <v>0.49675324675324678</v>
      </c>
    </row>
    <row r="25" spans="1:26" s="24" customFormat="1" hidden="1" outlineLevel="2" x14ac:dyDescent="0.25">
      <c r="A25" s="29"/>
      <c r="B25" s="11" t="str">
        <f>CONCATENATE("          ", "6119", " - ", "SICK LEAVE")</f>
        <v xml:space="preserve">          6119 - SICK LEAVE</v>
      </c>
      <c r="C25" s="11"/>
      <c r="D25" s="6">
        <v>332.1</v>
      </c>
      <c r="E25" s="2"/>
      <c r="F25" s="7">
        <f t="shared" si="0"/>
        <v>0</v>
      </c>
      <c r="G25" s="2"/>
      <c r="H25" s="6">
        <v>332.1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996.3</v>
      </c>
      <c r="Q25" s="2"/>
      <c r="R25" s="7">
        <f t="shared" si="4"/>
        <v>0</v>
      </c>
      <c r="S25" s="2"/>
      <c r="T25" s="6">
        <v>996.3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"6156", " - ", "EMPLOYEE MEALS")</f>
        <v xml:space="preserve">          6156 - EMPLOYEE MEALS</v>
      </c>
      <c r="C26" s="11"/>
      <c r="D26" s="6">
        <v>213.85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213.85</v>
      </c>
      <c r="M26" s="2"/>
      <c r="N26" s="7">
        <f t="shared" si="3"/>
        <v>0</v>
      </c>
      <c r="O26" s="11"/>
      <c r="P26" s="6">
        <v>611.21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611.21</v>
      </c>
      <c r="Y26" s="2"/>
      <c r="Z26" s="7">
        <f t="shared" si="7"/>
        <v>0</v>
      </c>
    </row>
    <row r="27" spans="1:26" s="28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7640.66</v>
      </c>
      <c r="E27" s="1"/>
      <c r="F27" s="5">
        <f t="shared" ref="F27:F30" si="8">IF(D$12=0,0,D27/D$12)</f>
        <v>0</v>
      </c>
      <c r="G27" s="1"/>
      <c r="H27" s="1">
        <f>SUM(OSRRefH22_1x_0)</f>
        <v>7820.63</v>
      </c>
      <c r="I27" s="1"/>
      <c r="J27" s="5">
        <f t="shared" ref="J27:J30" si="9">IF(H$12=0,0,H27/H$12)</f>
        <v>0</v>
      </c>
      <c r="K27" s="1"/>
      <c r="L27" s="1">
        <f t="shared" ref="L27:L30" si="10">+D27-H27</f>
        <v>-179.97000000000025</v>
      </c>
      <c r="M27" s="1"/>
      <c r="N27" s="5">
        <f t="shared" ref="N27:N30" si="11">IF(H27=0,0,L27/H27)</f>
        <v>-2.3012212571110031E-2</v>
      </c>
      <c r="O27" s="14"/>
      <c r="P27" s="1">
        <f>SUM(OSRRefP22_1x_0)</f>
        <v>26916.45</v>
      </c>
      <c r="Q27" s="1"/>
      <c r="R27" s="5">
        <f t="shared" ref="R27:R30" si="12">IF(P$12=0,0,P27/P$12)</f>
        <v>0</v>
      </c>
      <c r="S27" s="1"/>
      <c r="T27" s="1">
        <f>SUM(OSRRefT22_1x_0)</f>
        <v>28483.46</v>
      </c>
      <c r="U27" s="1"/>
      <c r="V27" s="5">
        <f t="shared" ref="V27:V30" si="13">IF(T$12=0,0,T27/T$12)</f>
        <v>0</v>
      </c>
      <c r="W27" s="1"/>
      <c r="X27" s="1">
        <f t="shared" ref="X27:X30" si="14">+P27-T27</f>
        <v>-1567.0099999999984</v>
      </c>
      <c r="Y27" s="1"/>
      <c r="Z27" s="5">
        <f t="shared" ref="Z27:Z30" si="15">IF(T27=0,0,X27/T27)</f>
        <v>-5.5014734867182516E-2</v>
      </c>
    </row>
    <row r="28" spans="1:26" s="24" customFormat="1" hidden="1" outlineLevel="2" x14ac:dyDescent="0.25">
      <c r="A28" s="29"/>
      <c r="B28" s="11" t="str">
        <f>CONCATENATE("          ", "6004", " - ", "STAFF HOURLY")</f>
        <v xml:space="preserve">          6004 - STAFF HOURLY</v>
      </c>
      <c r="C28" s="11"/>
      <c r="D28" s="6">
        <v>6407.25</v>
      </c>
      <c r="E28" s="2"/>
      <c r="F28" s="7">
        <f t="shared" si="8"/>
        <v>0</v>
      </c>
      <c r="G28" s="2"/>
      <c r="H28" s="6">
        <v>7320</v>
      </c>
      <c r="I28" s="2"/>
      <c r="J28" s="7">
        <f t="shared" si="9"/>
        <v>0</v>
      </c>
      <c r="K28" s="2"/>
      <c r="L28" s="6">
        <f t="shared" si="10"/>
        <v>-912.75</v>
      </c>
      <c r="M28" s="2"/>
      <c r="N28" s="7">
        <f t="shared" si="11"/>
        <v>-0.12469262295081968</v>
      </c>
      <c r="O28" s="11"/>
      <c r="P28" s="6">
        <v>19708.2</v>
      </c>
      <c r="Q28" s="2"/>
      <c r="R28" s="7">
        <f t="shared" si="12"/>
        <v>0</v>
      </c>
      <c r="S28" s="2"/>
      <c r="T28" s="6">
        <v>22522.5</v>
      </c>
      <c r="U28" s="2"/>
      <c r="V28" s="7">
        <f t="shared" si="13"/>
        <v>0</v>
      </c>
      <c r="W28" s="2"/>
      <c r="X28" s="6">
        <f t="shared" si="14"/>
        <v>-2814.2999999999993</v>
      </c>
      <c r="Y28" s="2"/>
      <c r="Z28" s="7">
        <f t="shared" si="15"/>
        <v>-0.12495504495504492</v>
      </c>
    </row>
    <row r="29" spans="1:26" s="24" customFormat="1" hidden="1" outlineLevel="2" x14ac:dyDescent="0.25">
      <c r="A29" s="29"/>
      <c r="B29" s="11" t="str">
        <f>CONCATENATE("          ", "6007", " - ", "STUDENT HOURLY")</f>
        <v xml:space="preserve">          6007 - STUDENT HOURLY</v>
      </c>
      <c r="C29" s="11"/>
      <c r="D29" s="6"/>
      <c r="E29" s="2"/>
      <c r="F29" s="7">
        <f t="shared" si="8"/>
        <v>0</v>
      </c>
      <c r="G29" s="2"/>
      <c r="H29" s="6">
        <v>-1251</v>
      </c>
      <c r="I29" s="2"/>
      <c r="J29" s="7">
        <f t="shared" si="9"/>
        <v>0</v>
      </c>
      <c r="K29" s="2"/>
      <c r="L29" s="6">
        <f t="shared" si="10"/>
        <v>1251</v>
      </c>
      <c r="M29" s="2"/>
      <c r="N29" s="7">
        <f t="shared" si="11"/>
        <v>-1</v>
      </c>
      <c r="O29" s="11"/>
      <c r="P29" s="6">
        <v>0</v>
      </c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4" customFormat="1" hidden="1" outlineLevel="2" x14ac:dyDescent="0.25">
      <c r="A30" s="29"/>
      <c r="B30" s="11" t="str">
        <f>CONCATENATE("          ", "6008", " - ", "STUDENT HOURLY-FICA EXEMPT")</f>
        <v xml:space="preserve">          6008 - STUDENT HOURLY-FICA EXEMPT</v>
      </c>
      <c r="C30" s="11"/>
      <c r="D30" s="6">
        <v>1233.4100000000001</v>
      </c>
      <c r="E30" s="2"/>
      <c r="F30" s="7">
        <f t="shared" si="8"/>
        <v>0</v>
      </c>
      <c r="G30" s="2"/>
      <c r="H30" s="6">
        <v>1751.63</v>
      </c>
      <c r="I30" s="2"/>
      <c r="J30" s="7">
        <f t="shared" si="9"/>
        <v>0</v>
      </c>
      <c r="K30" s="2"/>
      <c r="L30" s="6">
        <f t="shared" si="10"/>
        <v>-518.22</v>
      </c>
      <c r="M30" s="2"/>
      <c r="N30" s="7">
        <f t="shared" si="11"/>
        <v>-0.29585015100220935</v>
      </c>
      <c r="O30" s="11"/>
      <c r="P30" s="6">
        <v>7208.25</v>
      </c>
      <c r="Q30" s="2"/>
      <c r="R30" s="7">
        <f t="shared" si="12"/>
        <v>0</v>
      </c>
      <c r="S30" s="2"/>
      <c r="T30" s="6">
        <v>5960.96</v>
      </c>
      <c r="U30" s="2"/>
      <c r="V30" s="7">
        <f t="shared" si="13"/>
        <v>0</v>
      </c>
      <c r="W30" s="2"/>
      <c r="X30" s="6">
        <f t="shared" si="14"/>
        <v>1247.29</v>
      </c>
      <c r="Y30" s="2"/>
      <c r="Z30" s="7">
        <f t="shared" si="15"/>
        <v>0.20924314204423447</v>
      </c>
    </row>
    <row r="31" spans="1:26" s="28" customFormat="1" outlineLevel="1" collapsed="1" x14ac:dyDescent="0.25">
      <c r="A31" s="27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346.42</v>
      </c>
      <c r="E31" s="1"/>
      <c r="F31" s="5">
        <f t="shared" ref="F31:F40" si="16">IF(D$12=0,0,D31/D$12)</f>
        <v>0</v>
      </c>
      <c r="G31" s="1"/>
      <c r="H31" s="1">
        <f>SUM(OSRRefH22_2x_0)</f>
        <v>173.21</v>
      </c>
      <c r="I31" s="1"/>
      <c r="J31" s="5">
        <f t="shared" ref="J31:J40" si="17">IF(H$12=0,0,H31/H$12)</f>
        <v>0</v>
      </c>
      <c r="K31" s="1"/>
      <c r="L31" s="1">
        <f t="shared" ref="L31:L40" si="18">+D31-H31</f>
        <v>173.21</v>
      </c>
      <c r="M31" s="1"/>
      <c r="N31" s="5">
        <f t="shared" ref="N31:N40" si="19">IF(H31=0,0,L31/H31)</f>
        <v>1</v>
      </c>
      <c r="O31" s="14"/>
      <c r="P31" s="1">
        <f>SUM(OSRRefP22_2x_0)</f>
        <v>746.44</v>
      </c>
      <c r="Q31" s="1"/>
      <c r="R31" s="5">
        <f t="shared" ref="R31:R40" si="20">IF(P$12=0,0,P31/P$12)</f>
        <v>0</v>
      </c>
      <c r="S31" s="1"/>
      <c r="T31" s="1">
        <f>SUM(OSRRefT22_2x_0)</f>
        <v>519.63</v>
      </c>
      <c r="U31" s="1"/>
      <c r="V31" s="5">
        <f t="shared" ref="V31:V40" si="21">IF(T$12=0,0,T31/T$12)</f>
        <v>0</v>
      </c>
      <c r="W31" s="1"/>
      <c r="X31" s="1">
        <f t="shared" ref="X31:X40" si="22">+P31-T31</f>
        <v>226.81000000000006</v>
      </c>
      <c r="Y31" s="1"/>
      <c r="Z31" s="5">
        <f t="shared" ref="Z31:Z40" si="23">IF(T31=0,0,X31/T31)</f>
        <v>0.43648365182918625</v>
      </c>
    </row>
    <row r="32" spans="1:26" s="24" customFormat="1" hidden="1" outlineLevel="2" x14ac:dyDescent="0.25">
      <c r="A32" s="29"/>
      <c r="B32" s="11" t="str">
        <f>CONCATENATE("          ", "6362", " - ", "ADVERTISING EXPENSE")</f>
        <v xml:space="preserve">          6362 - ADVERTISING EXPENSE</v>
      </c>
      <c r="C32" s="11"/>
      <c r="D32" s="6">
        <v>346.42</v>
      </c>
      <c r="E32" s="2"/>
      <c r="F32" s="7">
        <f t="shared" si="16"/>
        <v>0</v>
      </c>
      <c r="G32" s="2"/>
      <c r="H32" s="6">
        <v>173.21</v>
      </c>
      <c r="I32" s="2"/>
      <c r="J32" s="7">
        <f t="shared" si="17"/>
        <v>0</v>
      </c>
      <c r="K32" s="2"/>
      <c r="L32" s="6">
        <f t="shared" si="18"/>
        <v>173.21</v>
      </c>
      <c r="M32" s="2"/>
      <c r="N32" s="7">
        <f t="shared" si="19"/>
        <v>1</v>
      </c>
      <c r="O32" s="11"/>
      <c r="P32" s="6">
        <v>746.44</v>
      </c>
      <c r="Q32" s="2"/>
      <c r="R32" s="7">
        <f t="shared" si="20"/>
        <v>0</v>
      </c>
      <c r="S32" s="2"/>
      <c r="T32" s="6">
        <v>519.63</v>
      </c>
      <c r="U32" s="2"/>
      <c r="V32" s="7">
        <f t="shared" si="21"/>
        <v>0</v>
      </c>
      <c r="W32" s="2"/>
      <c r="X32" s="6">
        <f t="shared" si="22"/>
        <v>226.81000000000006</v>
      </c>
      <c r="Y32" s="2"/>
      <c r="Z32" s="7">
        <f t="shared" si="23"/>
        <v>0.43648365182918625</v>
      </c>
    </row>
    <row r="33" spans="1:26" s="28" customFormat="1" outlineLevel="1" collapsed="1" x14ac:dyDescent="0.25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271.27</v>
      </c>
      <c r="I33" s="1"/>
      <c r="J33" s="5">
        <f t="shared" si="17"/>
        <v>0</v>
      </c>
      <c r="K33" s="1"/>
      <c r="L33" s="1">
        <f t="shared" si="18"/>
        <v>-271.27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1085.08</v>
      </c>
      <c r="U33" s="1"/>
      <c r="V33" s="5">
        <f t="shared" si="21"/>
        <v>0</v>
      </c>
      <c r="W33" s="1"/>
      <c r="X33" s="1">
        <f t="shared" si="22"/>
        <v>-1085.08</v>
      </c>
      <c r="Y33" s="1"/>
      <c r="Z33" s="5">
        <f t="shared" si="23"/>
        <v>-1</v>
      </c>
    </row>
    <row r="34" spans="1:26" s="24" customFormat="1" hidden="1" outlineLevel="2" x14ac:dyDescent="0.25">
      <c r="A34" s="29"/>
      <c r="B34" s="11" t="str">
        <f>CONCATENATE("          ", "6322", " - ", "EQUIPMENT DEPRECIATION EXPENSE")</f>
        <v xml:space="preserve">          6322 - EQUIPMENT DEPRECIATION EXPENSE</v>
      </c>
      <c r="C34" s="11"/>
      <c r="D34" s="6"/>
      <c r="E34" s="2"/>
      <c r="F34" s="7">
        <f t="shared" si="16"/>
        <v>0</v>
      </c>
      <c r="G34" s="2"/>
      <c r="H34" s="6">
        <v>271.27</v>
      </c>
      <c r="I34" s="2"/>
      <c r="J34" s="7">
        <f t="shared" si="17"/>
        <v>0</v>
      </c>
      <c r="K34" s="2"/>
      <c r="L34" s="6">
        <f t="shared" si="18"/>
        <v>-271.27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1085.08</v>
      </c>
      <c r="U34" s="2"/>
      <c r="V34" s="7">
        <f t="shared" si="21"/>
        <v>0</v>
      </c>
      <c r="W34" s="2"/>
      <c r="X34" s="6">
        <f t="shared" si="22"/>
        <v>-1085.08</v>
      </c>
      <c r="Y34" s="2"/>
      <c r="Z34" s="7">
        <f t="shared" si="23"/>
        <v>-1</v>
      </c>
    </row>
    <row r="35" spans="1:26" s="28" customFormat="1" outlineLevel="1" collapsed="1" x14ac:dyDescent="0.25">
      <c r="A35" s="27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63.36</v>
      </c>
      <c r="Q35" s="1"/>
      <c r="R35" s="5">
        <f t="shared" si="20"/>
        <v>0</v>
      </c>
      <c r="S35" s="1"/>
      <c r="T35" s="1">
        <f>SUM(OSRRefT22_4x_0)</f>
        <v>0</v>
      </c>
      <c r="U35" s="1"/>
      <c r="V35" s="5">
        <f t="shared" si="21"/>
        <v>0</v>
      </c>
      <c r="W35" s="1"/>
      <c r="X35" s="1">
        <f t="shared" si="22"/>
        <v>63.36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63.36</v>
      </c>
      <c r="Q36" s="2"/>
      <c r="R36" s="7">
        <f t="shared" si="20"/>
        <v>0</v>
      </c>
      <c r="S36" s="2"/>
      <c r="T36" s="6"/>
      <c r="U36" s="2"/>
      <c r="V36" s="7">
        <f t="shared" si="21"/>
        <v>0</v>
      </c>
      <c r="W36" s="2"/>
      <c r="X36" s="6">
        <f t="shared" si="22"/>
        <v>63.36</v>
      </c>
      <c r="Y36" s="2"/>
      <c r="Z36" s="7">
        <f t="shared" si="23"/>
        <v>0</v>
      </c>
    </row>
    <row r="37" spans="1:26" s="28" customFormat="1" outlineLevel="1" collapsed="1" x14ac:dyDescent="0.25">
      <c r="A37" s="27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SUM(OSRRefP22_5x_0)</f>
        <v>4.5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4.5</v>
      </c>
      <c r="Y37" s="1"/>
      <c r="Z37" s="5">
        <f t="shared" si="23"/>
        <v>0</v>
      </c>
    </row>
    <row r="38" spans="1:26" s="24" customFormat="1" hidden="1" outlineLevel="2" x14ac:dyDescent="0.25">
      <c r="A38" s="29"/>
      <c r="B38" s="11" t="str">
        <f>CONCATENATE("          ", "6241", " - ", "OFFICE EXPENSE")</f>
        <v xml:space="preserve">          6241 - OFFICE EXPENSE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4.5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4.5</v>
      </c>
      <c r="Y38" s="2"/>
      <c r="Z38" s="7">
        <f t="shared" si="23"/>
        <v>0</v>
      </c>
    </row>
    <row r="39" spans="1:26" s="28" customFormat="1" outlineLevel="1" collapsed="1" x14ac:dyDescent="0.25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36</v>
      </c>
      <c r="E39" s="1"/>
      <c r="F39" s="5">
        <f t="shared" si="16"/>
        <v>0</v>
      </c>
      <c r="G39" s="1"/>
      <c r="H39" s="1">
        <f>SUM(OSRRefH22_6x_0)</f>
        <v>36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SUM(OSRRefP22_6x_0)</f>
        <v>216</v>
      </c>
      <c r="Q39" s="1"/>
      <c r="R39" s="5">
        <f t="shared" si="20"/>
        <v>0</v>
      </c>
      <c r="S39" s="1"/>
      <c r="T39" s="1">
        <f>SUM(OSRRefT22_6x_0)</f>
        <v>108</v>
      </c>
      <c r="U39" s="1"/>
      <c r="V39" s="5">
        <f t="shared" si="21"/>
        <v>0</v>
      </c>
      <c r="W39" s="1"/>
      <c r="X39" s="1">
        <f t="shared" si="22"/>
        <v>108</v>
      </c>
      <c r="Y39" s="1"/>
      <c r="Z39" s="5">
        <f t="shared" si="23"/>
        <v>1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6">
        <v>36</v>
      </c>
      <c r="E40" s="2"/>
      <c r="F40" s="7">
        <f t="shared" si="16"/>
        <v>0</v>
      </c>
      <c r="G40" s="2"/>
      <c r="H40" s="6">
        <v>36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216</v>
      </c>
      <c r="Q40" s="2"/>
      <c r="R40" s="7">
        <f t="shared" si="20"/>
        <v>0</v>
      </c>
      <c r="S40" s="2"/>
      <c r="T40" s="6">
        <v>108</v>
      </c>
      <c r="U40" s="2"/>
      <c r="V40" s="7">
        <f t="shared" si="21"/>
        <v>0</v>
      </c>
      <c r="W40" s="2"/>
      <c r="X40" s="6">
        <f t="shared" si="22"/>
        <v>108</v>
      </c>
      <c r="Y40" s="2"/>
      <c r="Z40" s="7">
        <f t="shared" si="23"/>
        <v>1</v>
      </c>
    </row>
    <row r="41" spans="1:26" s="56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6" t="s">
        <v>276</v>
      </c>
      <c r="C44" s="26"/>
      <c r="D44" s="22">
        <f>+D16-D18+D42</f>
        <v>-10350.699999999999</v>
      </c>
      <c r="E44" s="13"/>
      <c r="F44" s="20">
        <f>IF(D$12=0,0,D44/D$12)</f>
        <v>0</v>
      </c>
      <c r="G44" s="13"/>
      <c r="H44" s="22">
        <f>+H16-H18+H42</f>
        <v>-10192.200000000001</v>
      </c>
      <c r="I44" s="13"/>
      <c r="J44" s="20">
        <f>IF(H$12=0,0,H44/H$12)</f>
        <v>0</v>
      </c>
      <c r="K44" s="15"/>
      <c r="L44" s="22">
        <f>+D44-H44</f>
        <v>-158.49999999999818</v>
      </c>
      <c r="M44" s="15"/>
      <c r="N44" s="20">
        <f>IF(H44=0,0,L44/H44)</f>
        <v>1.5551107709817132E-2</v>
      </c>
      <c r="O44" s="25"/>
      <c r="P44" s="22">
        <f>+P16-P18+P42</f>
        <v>-35891.11</v>
      </c>
      <c r="Q44" s="13"/>
      <c r="R44" s="20">
        <f>IF(P$12=0,0,P44/P$12)</f>
        <v>0</v>
      </c>
      <c r="S44" s="13"/>
      <c r="T44" s="22">
        <f>+T16-T18+T42</f>
        <v>-36655.49</v>
      </c>
      <c r="U44" s="13"/>
      <c r="V44" s="20">
        <f>IF(T$12=0,0,T44/T$12)</f>
        <v>0</v>
      </c>
      <c r="W44" s="15"/>
      <c r="X44" s="22">
        <f>+P44-T44</f>
        <v>764.37999999999738</v>
      </c>
      <c r="Y44" s="15"/>
      <c r="Z44" s="20">
        <f>IF(T44=0,0,X44/T44)</f>
        <v>-2.0853083671777337E-2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6" t="s">
        <v>125</v>
      </c>
      <c r="C48" s="26"/>
      <c r="D48" s="33">
        <f>+D44-D46</f>
        <v>-10350.699999999999</v>
      </c>
      <c r="E48" s="13"/>
      <c r="F48" s="31">
        <f>IF(D$12=0,0,D48/D$12)</f>
        <v>0</v>
      </c>
      <c r="G48" s="13"/>
      <c r="H48" s="33">
        <f>+H44-H46</f>
        <v>-10192.200000000001</v>
      </c>
      <c r="I48" s="13"/>
      <c r="J48" s="31">
        <f>IF(H$12=0,0,H48/H$12)</f>
        <v>0</v>
      </c>
      <c r="K48" s="15"/>
      <c r="L48" s="33">
        <f>D48-H48</f>
        <v>-158.49999999999818</v>
      </c>
      <c r="M48" s="15"/>
      <c r="N48" s="31">
        <f>IF(H48=0,0,L48/H48)</f>
        <v>1.5551107709817132E-2</v>
      </c>
      <c r="O48" s="25"/>
      <c r="P48" s="33">
        <f>+P44-P46</f>
        <v>-35891.11</v>
      </c>
      <c r="Q48" s="13"/>
      <c r="R48" s="31">
        <f>IF(P$12=0,0,P48/P$12)</f>
        <v>0</v>
      </c>
      <c r="S48" s="13"/>
      <c r="T48" s="33">
        <f>+T44-T46</f>
        <v>-36655.49</v>
      </c>
      <c r="U48" s="13"/>
      <c r="V48" s="31">
        <f>IF(T$12=0,0,T48/T$12)</f>
        <v>0</v>
      </c>
      <c r="W48" s="15"/>
      <c r="X48" s="33">
        <f>P48-T48</f>
        <v>764.37999999999738</v>
      </c>
      <c r="Y48" s="15"/>
      <c r="Z48" s="31">
        <f>IF(T48=0,0,X48/T48)</f>
        <v>-2.0853083671777337E-2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6" t="s">
        <v>293</v>
      </c>
      <c r="C51" s="26"/>
      <c r="D51" s="34">
        <f>SUM(D48:D50)</f>
        <v>-10350.699999999999</v>
      </c>
      <c r="E51" s="13"/>
      <c r="F51" s="30">
        <f>IF(D$12=0,0,D51/D$12)</f>
        <v>0</v>
      </c>
      <c r="G51" s="13"/>
      <c r="H51" s="34">
        <f>SUM(H48:H50)</f>
        <v>-10192.200000000001</v>
      </c>
      <c r="I51" s="13"/>
      <c r="J51" s="30">
        <f>IF(H$12=0,0,H51/H$12)</f>
        <v>0</v>
      </c>
      <c r="K51" s="15"/>
      <c r="L51" s="34">
        <f>+D51-H51</f>
        <v>-158.49999999999818</v>
      </c>
      <c r="M51" s="15"/>
      <c r="N51" s="30">
        <f>IF(H51=0,0,L51/H51)</f>
        <v>1.5551107709817132E-2</v>
      </c>
      <c r="O51" s="25"/>
      <c r="P51" s="34">
        <f>SUM(P48:P50)</f>
        <v>-35891.11</v>
      </c>
      <c r="Q51" s="13"/>
      <c r="R51" s="30">
        <f>IF(P$12=0,0,P51/P$12)</f>
        <v>0</v>
      </c>
      <c r="S51" s="13"/>
      <c r="T51" s="34">
        <f>SUM(T48:T50)</f>
        <v>-36655.49</v>
      </c>
      <c r="U51" s="13"/>
      <c r="V51" s="30">
        <f>IF(T$12=0,0,T51/T$12)</f>
        <v>0</v>
      </c>
      <c r="W51" s="15"/>
      <c r="X51" s="34">
        <f>+P51-T51</f>
        <v>764.37999999999738</v>
      </c>
      <c r="Y51" s="15"/>
      <c r="Z51" s="30">
        <f>IF(T51=0,0,X51/T51)</f>
        <v>-2.0853083671777337E-2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61">
        <v>44517.967041516204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7" t="s">
        <v>56</v>
      </c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8"/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576253.80999999994</v>
      </c>
      <c r="E12" s="4"/>
      <c r="F12" s="12"/>
      <c r="G12" s="4"/>
      <c r="H12" s="4">
        <f>SUM(OSRRefH13x_0)</f>
        <v>160109.03000000003</v>
      </c>
      <c r="I12" s="4"/>
      <c r="J12" s="12"/>
      <c r="K12" s="4"/>
      <c r="L12" s="4">
        <f t="shared" ref="L12:L79" si="0">+D12-H12</f>
        <v>416144.77999999991</v>
      </c>
      <c r="M12" s="4"/>
      <c r="N12" s="12">
        <f t="shared" ref="N12:N79" si="1">IF(H12=0,0,L12/H12)</f>
        <v>2.5991337278103543</v>
      </c>
      <c r="O12" s="10"/>
      <c r="P12" s="4">
        <f>SUM(OSRRefP13x_0)</f>
        <v>2916777.16</v>
      </c>
      <c r="Q12" s="4"/>
      <c r="R12" s="12"/>
      <c r="S12" s="4"/>
      <c r="T12" s="4">
        <f>SUM(OSRRefT13x_0)</f>
        <v>2356596.73</v>
      </c>
      <c r="U12" s="4"/>
      <c r="V12" s="12"/>
      <c r="W12" s="4"/>
      <c r="X12" s="4">
        <f t="shared" ref="X12:X79" si="2">+P12-T12</f>
        <v>560180.43000000017</v>
      </c>
      <c r="Y12" s="4"/>
      <c r="Z12" s="12">
        <f t="shared" ref="Z12:Z79" si="3">IF(T12=0,0,X12/T12)</f>
        <v>0.2377073781308354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--482384.27</f>
        <v>482384.27</v>
      </c>
      <c r="E13" s="2"/>
      <c r="F13" s="19"/>
      <c r="G13" s="2"/>
      <c r="H13" s="2">
        <f>-11383.24</f>
        <v>-11383.24</v>
      </c>
      <c r="I13" s="2"/>
      <c r="J13" s="19"/>
      <c r="K13" s="2"/>
      <c r="L13" s="2">
        <f t="shared" si="0"/>
        <v>493767.51</v>
      </c>
      <c r="M13" s="2"/>
      <c r="N13" s="19">
        <f t="shared" si="1"/>
        <v>-43.376710848580899</v>
      </c>
      <c r="O13" s="11"/>
      <c r="P13" s="2">
        <f>--2377830.7</f>
        <v>2377830.7000000002</v>
      </c>
      <c r="Q13" s="2"/>
      <c r="R13" s="19"/>
      <c r="S13" s="2"/>
      <c r="T13" s="2">
        <f>-47460.32</f>
        <v>-47460.32</v>
      </c>
      <c r="U13" s="2"/>
      <c r="V13" s="19"/>
      <c r="W13" s="2"/>
      <c r="X13" s="2">
        <f t="shared" si="2"/>
        <v>2425291.02</v>
      </c>
      <c r="Y13" s="2"/>
      <c r="Z13" s="19">
        <f t="shared" si="3"/>
        <v>-51.101446850758698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--17630.93</f>
        <v>17630.93</v>
      </c>
      <c r="I14" s="2"/>
      <c r="J14" s="19"/>
      <c r="K14" s="2"/>
      <c r="L14" s="2">
        <f t="shared" si="0"/>
        <v>-17630.93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--712327.57</f>
        <v>712327.57</v>
      </c>
      <c r="U14" s="2"/>
      <c r="V14" s="19"/>
      <c r="W14" s="2"/>
      <c r="X14" s="2">
        <f t="shared" si="2"/>
        <v>-712327.57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--2483.62</f>
        <v>2483.62</v>
      </c>
      <c r="I15" s="2"/>
      <c r="J15" s="19"/>
      <c r="K15" s="2"/>
      <c r="L15" s="2">
        <f t="shared" si="0"/>
        <v>-2483.62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--319139.52</f>
        <v>319139.52</v>
      </c>
      <c r="U15" s="2"/>
      <c r="V15" s="19"/>
      <c r="W15" s="2"/>
      <c r="X15" s="2">
        <f t="shared" si="2"/>
        <v>-319139.52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--70</f>
        <v>70</v>
      </c>
      <c r="I16" s="2"/>
      <c r="J16" s="19"/>
      <c r="K16" s="2"/>
      <c r="L16" s="2">
        <f t="shared" si="0"/>
        <v>-70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--354.45</f>
        <v>354.45</v>
      </c>
      <c r="I17" s="2"/>
      <c r="J17" s="19"/>
      <c r="K17" s="2"/>
      <c r="L17" s="2">
        <f t="shared" si="0"/>
        <v>-354.45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--157.47</f>
        <v>157.47</v>
      </c>
      <c r="I18" s="2"/>
      <c r="J18" s="19"/>
      <c r="K18" s="2"/>
      <c r="L18" s="2">
        <f t="shared" si="0"/>
        <v>-157.47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--197.37</f>
        <v>197.37</v>
      </c>
      <c r="U18" s="2"/>
      <c r="V18" s="19"/>
      <c r="W18" s="2"/>
      <c r="X18" s="2">
        <f t="shared" si="2"/>
        <v>-197.37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</f>
        <v>35.799999999999997</v>
      </c>
      <c r="I19" s="2"/>
      <c r="J19" s="19"/>
      <c r="K19" s="2"/>
      <c r="L19" s="2">
        <f t="shared" si="0"/>
        <v>-35.799999999999997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--20.8</f>
        <v>20.8</v>
      </c>
      <c r="I21" s="2"/>
      <c r="J21" s="19"/>
      <c r="K21" s="2"/>
      <c r="L21" s="2">
        <f t="shared" si="0"/>
        <v>-20.8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--278.83</f>
        <v>278.83</v>
      </c>
      <c r="U21" s="2"/>
      <c r="V21" s="19"/>
      <c r="W21" s="2"/>
      <c r="X21" s="2">
        <f t="shared" si="2"/>
        <v>-278.83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--2328.89</f>
        <v>2328.89</v>
      </c>
      <c r="I22" s="2"/>
      <c r="J22" s="19"/>
      <c r="K22" s="2"/>
      <c r="L22" s="2">
        <f t="shared" si="0"/>
        <v>-2328.89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--35003.5</f>
        <v>35003.5</v>
      </c>
      <c r="U22" s="2"/>
      <c r="V22" s="19"/>
      <c r="W22" s="2"/>
      <c r="X22" s="2">
        <f t="shared" si="2"/>
        <v>-35003.5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--1769.95</f>
        <v>1769.95</v>
      </c>
      <c r="I23" s="2"/>
      <c r="J23" s="19"/>
      <c r="K23" s="2"/>
      <c r="L23" s="2">
        <f t="shared" si="0"/>
        <v>-1769.95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--14268.85</f>
        <v>14268.85</v>
      </c>
      <c r="U23" s="2"/>
      <c r="V23" s="19"/>
      <c r="W23" s="2"/>
      <c r="X23" s="2">
        <f t="shared" si="2"/>
        <v>-14268.85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--429.8</f>
        <v>429.8</v>
      </c>
      <c r="I24" s="2"/>
      <c r="J24" s="19"/>
      <c r="K24" s="2"/>
      <c r="L24" s="2">
        <f t="shared" si="0"/>
        <v>-429.8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--1667.96</f>
        <v>1667.96</v>
      </c>
      <c r="U24" s="2"/>
      <c r="V24" s="19"/>
      <c r="W24" s="2"/>
      <c r="X24" s="2">
        <f t="shared" si="2"/>
        <v>-1667.96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--54384.72</f>
        <v>54384.72</v>
      </c>
      <c r="I27" s="2"/>
      <c r="J27" s="19"/>
      <c r="K27" s="2"/>
      <c r="L27" s="2">
        <f t="shared" si="0"/>
        <v>-54384.72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--382804.91</f>
        <v>382804.91</v>
      </c>
      <c r="U27" s="2"/>
      <c r="V27" s="19"/>
      <c r="W27" s="2"/>
      <c r="X27" s="2">
        <f t="shared" si="2"/>
        <v>-382804.91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--22053.6</f>
        <v>22053.599999999999</v>
      </c>
      <c r="I28" s="2"/>
      <c r="J28" s="19"/>
      <c r="K28" s="2"/>
      <c r="L28" s="2">
        <f t="shared" si="0"/>
        <v>-22053.599999999999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--153087.22</f>
        <v>153087.22</v>
      </c>
      <c r="U28" s="2"/>
      <c r="V28" s="19"/>
      <c r="W28" s="2"/>
      <c r="X28" s="2">
        <f t="shared" si="2"/>
        <v>-153087.22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--6854.18</f>
        <v>6854.18</v>
      </c>
      <c r="I29" s="2"/>
      <c r="J29" s="19"/>
      <c r="K29" s="2"/>
      <c r="L29" s="2">
        <f t="shared" si="0"/>
        <v>-6854.18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--54783.68</f>
        <v>54783.68</v>
      </c>
      <c r="U29" s="2"/>
      <c r="V29" s="19"/>
      <c r="W29" s="2"/>
      <c r="X29" s="2">
        <f t="shared" si="2"/>
        <v>-54783.68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--30454.88</f>
        <v>30454.880000000001</v>
      </c>
      <c r="I30" s="2"/>
      <c r="J30" s="19"/>
      <c r="K30" s="2"/>
      <c r="L30" s="2">
        <f t="shared" si="0"/>
        <v>-30454.880000000001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--40246.04</f>
        <v>40246.04</v>
      </c>
      <c r="U30" s="2"/>
      <c r="V30" s="19"/>
      <c r="W30" s="2"/>
      <c r="X30" s="2">
        <f t="shared" si="2"/>
        <v>-40246.04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--1157.64</f>
        <v>1157.6400000000001</v>
      </c>
      <c r="I31" s="2"/>
      <c r="J31" s="19"/>
      <c r="K31" s="2"/>
      <c r="L31" s="2">
        <f t="shared" si="0"/>
        <v>-1157.6400000000001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--12489.16</f>
        <v>12489.16</v>
      </c>
      <c r="U31" s="2"/>
      <c r="V31" s="19"/>
      <c r="W31" s="2"/>
      <c r="X31" s="2">
        <f t="shared" si="2"/>
        <v>-12489.16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--4950.17</f>
        <v>4950.17</v>
      </c>
      <c r="I32" s="2"/>
      <c r="J32" s="19"/>
      <c r="K32" s="2"/>
      <c r="L32" s="2">
        <f t="shared" si="0"/>
        <v>-4950.17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--96956.61</f>
        <v>96956.61</v>
      </c>
      <c r="U32" s="2"/>
      <c r="V32" s="19"/>
      <c r="W32" s="2"/>
      <c r="X32" s="2">
        <f t="shared" si="2"/>
        <v>-96956.61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"4053", " - ", "TAXABLE SALES-FOOD")</f>
        <v xml:space="preserve">          4053 - TAXABLE SALES-FOOD</v>
      </c>
      <c r="C33" s="11"/>
      <c r="D33" s="2">
        <f>--404.53</f>
        <v>404.53</v>
      </c>
      <c r="E33" s="2"/>
      <c r="F33" s="19"/>
      <c r="G33" s="2"/>
      <c r="H33" s="2">
        <f t="shared" ref="H33:H35" si="7">0</f>
        <v>0</v>
      </c>
      <c r="I33" s="2"/>
      <c r="J33" s="19"/>
      <c r="K33" s="2"/>
      <c r="L33" s="2">
        <f t="shared" si="0"/>
        <v>404.53</v>
      </c>
      <c r="M33" s="2"/>
      <c r="N33" s="19">
        <f t="shared" si="1"/>
        <v>0</v>
      </c>
      <c r="O33" s="11"/>
      <c r="P33" s="2">
        <f>--543.62</f>
        <v>543.62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543.62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"4081", " - ", "TAXABLE SALES-ELECTRONICS")</f>
        <v xml:space="preserve">          4081 - TAXABLE SALES-ELECTRONICS</v>
      </c>
      <c r="C34" s="11"/>
      <c r="D34" s="2">
        <f t="shared" ref="D34:D35" si="8">0</f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ref="P34:P35" si="9">0</f>
        <v>0</v>
      </c>
      <c r="Q34" s="2"/>
      <c r="R34" s="19"/>
      <c r="S34" s="2"/>
      <c r="T34" s="2">
        <f>--71.95</f>
        <v>71.95</v>
      </c>
      <c r="U34" s="2"/>
      <c r="V34" s="19"/>
      <c r="W34" s="2"/>
      <c r="X34" s="2">
        <f t="shared" si="2"/>
        <v>-71.95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"4083", " - ", "TAXABLE SALES-COMPUTER EQUIPME")</f>
        <v xml:space="preserve">          4083 - TAXABLE SALES-COMPUTER EQUIPME</v>
      </c>
      <c r="C35" s="11"/>
      <c r="D35" s="2">
        <f t="shared" si="8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9"/>
        <v>0</v>
      </c>
      <c r="Q35" s="2"/>
      <c r="R35" s="19"/>
      <c r="S35" s="2"/>
      <c r="T35" s="2">
        <f>--9.99</f>
        <v>9.99</v>
      </c>
      <c r="U35" s="2"/>
      <c r="V35" s="19"/>
      <c r="W35" s="2"/>
      <c r="X35" s="2">
        <f t="shared" si="2"/>
        <v>-9.99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--128659.35</f>
        <v>128659.35</v>
      </c>
      <c r="E36" s="2"/>
      <c r="F36" s="19"/>
      <c r="G36" s="2"/>
      <c r="H36" s="2">
        <f>--135.79</f>
        <v>135.79</v>
      </c>
      <c r="I36" s="2"/>
      <c r="J36" s="19"/>
      <c r="K36" s="2"/>
      <c r="L36" s="2">
        <f t="shared" si="0"/>
        <v>128523.56000000001</v>
      </c>
      <c r="M36" s="2"/>
      <c r="N36" s="19">
        <f t="shared" si="1"/>
        <v>946.48766477649326</v>
      </c>
      <c r="O36" s="11"/>
      <c r="P36" s="2">
        <f>--634202.83</f>
        <v>634202.82999999996</v>
      </c>
      <c r="Q36" s="2"/>
      <c r="R36" s="19"/>
      <c r="S36" s="2"/>
      <c r="T36" s="2">
        <f>--164479.81</f>
        <v>164479.81</v>
      </c>
      <c r="U36" s="2"/>
      <c r="V36" s="19"/>
      <c r="W36" s="2"/>
      <c r="X36" s="2">
        <f t="shared" si="2"/>
        <v>469723.01999999996</v>
      </c>
      <c r="Y36" s="2"/>
      <c r="Z36" s="19">
        <f t="shared" si="3"/>
        <v>2.8558095975427014</v>
      </c>
    </row>
    <row r="37" spans="1:26" s="24" customFormat="1" hidden="1" outlineLevel="1" x14ac:dyDescent="0.25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 t="shared" ref="D37:D50" si="10">0</f>
        <v>0</v>
      </c>
      <c r="E37" s="2"/>
      <c r="F37" s="19"/>
      <c r="G37" s="2"/>
      <c r="H37" s="2">
        <f>--7260.05</f>
        <v>7260.05</v>
      </c>
      <c r="I37" s="2"/>
      <c r="J37" s="19"/>
      <c r="K37" s="2"/>
      <c r="L37" s="2">
        <f t="shared" si="0"/>
        <v>-7260.05</v>
      </c>
      <c r="M37" s="2"/>
      <c r="N37" s="19">
        <f t="shared" si="1"/>
        <v>-1</v>
      </c>
      <c r="O37" s="11"/>
      <c r="P37" s="2">
        <f t="shared" ref="P37:P58" si="11">0</f>
        <v>0</v>
      </c>
      <c r="Q37" s="2"/>
      <c r="R37" s="19"/>
      <c r="S37" s="2"/>
      <c r="T37" s="2">
        <f>--77664.89</f>
        <v>77664.89</v>
      </c>
      <c r="U37" s="2"/>
      <c r="V37" s="19"/>
      <c r="W37" s="2"/>
      <c r="X37" s="2">
        <f t="shared" si="2"/>
        <v>-77664.89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 t="shared" si="10"/>
        <v>0</v>
      </c>
      <c r="E38" s="2"/>
      <c r="F38" s="19"/>
      <c r="G38" s="2"/>
      <c r="H38" s="2">
        <f>--2341.65</f>
        <v>2341.65</v>
      </c>
      <c r="I38" s="2"/>
      <c r="J38" s="19"/>
      <c r="K38" s="2"/>
      <c r="L38" s="2">
        <f t="shared" si="0"/>
        <v>-2341.65</v>
      </c>
      <c r="M38" s="2"/>
      <c r="N38" s="19">
        <f t="shared" si="1"/>
        <v>-1</v>
      </c>
      <c r="O38" s="11"/>
      <c r="P38" s="2">
        <f t="shared" si="11"/>
        <v>0</v>
      </c>
      <c r="Q38" s="2"/>
      <c r="R38" s="19"/>
      <c r="S38" s="2"/>
      <c r="T38" s="2">
        <f>--32712.47</f>
        <v>32712.47</v>
      </c>
      <c r="U38" s="2"/>
      <c r="V38" s="19"/>
      <c r="W38" s="2"/>
      <c r="X38" s="2">
        <f t="shared" si="2"/>
        <v>-32712.47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 t="shared" si="10"/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 t="shared" si="11"/>
        <v>0</v>
      </c>
      <c r="Q39" s="2"/>
      <c r="R39" s="19"/>
      <c r="S39" s="2"/>
      <c r="T39" s="2">
        <f>--284.97</f>
        <v>284.97000000000003</v>
      </c>
      <c r="U39" s="2"/>
      <c r="V39" s="19"/>
      <c r="W39" s="2"/>
      <c r="X39" s="2">
        <f t="shared" si="2"/>
        <v>-284.97000000000003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 t="shared" si="10"/>
        <v>0</v>
      </c>
      <c r="E40" s="2"/>
      <c r="F40" s="19"/>
      <c r="G40" s="2"/>
      <c r="H40" s="2">
        <f>--6767.67</f>
        <v>6767.67</v>
      </c>
      <c r="I40" s="2"/>
      <c r="J40" s="19"/>
      <c r="K40" s="2"/>
      <c r="L40" s="2">
        <f t="shared" si="0"/>
        <v>-6767.67</v>
      </c>
      <c r="M40" s="2"/>
      <c r="N40" s="19">
        <f t="shared" si="1"/>
        <v>-1</v>
      </c>
      <c r="O40" s="11"/>
      <c r="P40" s="2">
        <f t="shared" si="11"/>
        <v>0</v>
      </c>
      <c r="Q40" s="2"/>
      <c r="R40" s="19"/>
      <c r="S40" s="2"/>
      <c r="T40" s="2">
        <f>--293475.52</f>
        <v>293475.52</v>
      </c>
      <c r="U40" s="2"/>
      <c r="V40" s="19"/>
      <c r="W40" s="2"/>
      <c r="X40" s="2">
        <f t="shared" si="2"/>
        <v>-293475.52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 t="shared" si="10"/>
        <v>0</v>
      </c>
      <c r="E41" s="2"/>
      <c r="F41" s="19"/>
      <c r="G41" s="2"/>
      <c r="H41" s="2">
        <f>--1655.95</f>
        <v>1655.95</v>
      </c>
      <c r="I41" s="2"/>
      <c r="J41" s="19"/>
      <c r="K41" s="2"/>
      <c r="L41" s="2">
        <f t="shared" si="0"/>
        <v>-1655.95</v>
      </c>
      <c r="M41" s="2"/>
      <c r="N41" s="19">
        <f t="shared" si="1"/>
        <v>-1</v>
      </c>
      <c r="O41" s="11"/>
      <c r="P41" s="2">
        <f t="shared" si="11"/>
        <v>0</v>
      </c>
      <c r="Q41" s="2"/>
      <c r="R41" s="19"/>
      <c r="S41" s="2"/>
      <c r="T41" s="2">
        <f>--1655.95</f>
        <v>1655.95</v>
      </c>
      <c r="U41" s="2"/>
      <c r="V41" s="19"/>
      <c r="W41" s="2"/>
      <c r="X41" s="2">
        <f t="shared" si="2"/>
        <v>-1655.95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si="10"/>
        <v>0</v>
      </c>
      <c r="E42" s="2"/>
      <c r="F42" s="19"/>
      <c r="G42" s="2"/>
      <c r="H42" s="2">
        <f>--97.3</f>
        <v>97.3</v>
      </c>
      <c r="I42" s="2"/>
      <c r="J42" s="19"/>
      <c r="K42" s="2"/>
      <c r="L42" s="2">
        <f t="shared" si="0"/>
        <v>-97.3</v>
      </c>
      <c r="M42" s="2"/>
      <c r="N42" s="19">
        <f t="shared" si="1"/>
        <v>-1</v>
      </c>
      <c r="O42" s="11"/>
      <c r="P42" s="2">
        <f t="shared" si="11"/>
        <v>0</v>
      </c>
      <c r="Q42" s="2"/>
      <c r="R42" s="19"/>
      <c r="S42" s="2"/>
      <c r="T42" s="2">
        <f>--205.63</f>
        <v>205.63</v>
      </c>
      <c r="U42" s="2"/>
      <c r="V42" s="19"/>
      <c r="W42" s="2"/>
      <c r="X42" s="2">
        <f t="shared" si="2"/>
        <v>-205.63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10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1"/>
        <v>0</v>
      </c>
      <c r="Q43" s="2"/>
      <c r="R43" s="19"/>
      <c r="S43" s="2"/>
      <c r="T43" s="2">
        <f>--52.68</f>
        <v>52.68</v>
      </c>
      <c r="U43" s="2"/>
      <c r="V43" s="19"/>
      <c r="W43" s="2"/>
      <c r="X43" s="2">
        <f t="shared" si="2"/>
        <v>-52.68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 t="shared" si="10"/>
        <v>0</v>
      </c>
      <c r="E44" s="2"/>
      <c r="F44" s="19"/>
      <c r="G44" s="2"/>
      <c r="H44" s="2">
        <f>--160.95</f>
        <v>160.94999999999999</v>
      </c>
      <c r="I44" s="2"/>
      <c r="J44" s="19"/>
      <c r="K44" s="2"/>
      <c r="L44" s="2">
        <f t="shared" si="0"/>
        <v>-160.94999999999999</v>
      </c>
      <c r="M44" s="2"/>
      <c r="N44" s="19">
        <f t="shared" si="1"/>
        <v>-1</v>
      </c>
      <c r="O44" s="11"/>
      <c r="P44" s="2">
        <f t="shared" si="11"/>
        <v>0</v>
      </c>
      <c r="Q44" s="2"/>
      <c r="R44" s="19"/>
      <c r="S44" s="2"/>
      <c r="T44" s="2">
        <f>--2831.69</f>
        <v>2831.69</v>
      </c>
      <c r="U44" s="2"/>
      <c r="V44" s="19"/>
      <c r="W44" s="2"/>
      <c r="X44" s="2">
        <f t="shared" si="2"/>
        <v>-2831.69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"4131", " - ", "NON-TAXABLE SALES-FOOD")</f>
        <v xml:space="preserve">          4131 - NON-TAXABLE SALES-FOOD</v>
      </c>
      <c r="C45" s="11"/>
      <c r="D45" s="2">
        <f t="shared" si="10"/>
        <v>0</v>
      </c>
      <c r="E45" s="2"/>
      <c r="F45" s="19"/>
      <c r="G45" s="2"/>
      <c r="H45" s="2">
        <f>--1521.48</f>
        <v>1521.48</v>
      </c>
      <c r="I45" s="2"/>
      <c r="J45" s="19"/>
      <c r="K45" s="2"/>
      <c r="L45" s="2">
        <f t="shared" si="0"/>
        <v>-1521.48</v>
      </c>
      <c r="M45" s="2"/>
      <c r="N45" s="19">
        <f t="shared" si="1"/>
        <v>-1</v>
      </c>
      <c r="O45" s="11"/>
      <c r="P45" s="2">
        <f t="shared" si="11"/>
        <v>0</v>
      </c>
      <c r="Q45" s="2"/>
      <c r="R45" s="19"/>
      <c r="S45" s="2"/>
      <c r="T45" s="2">
        <f>--5525.44</f>
        <v>5525.44</v>
      </c>
      <c r="U45" s="2"/>
      <c r="V45" s="19"/>
      <c r="W45" s="2"/>
      <c r="X45" s="2">
        <f t="shared" si="2"/>
        <v>-5525.44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si="10"/>
        <v>0</v>
      </c>
      <c r="E46" s="2"/>
      <c r="F46" s="19"/>
      <c r="G46" s="2"/>
      <c r="H46" s="2">
        <f t="shared" ref="H46:H49" si="12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1"/>
        <v>0</v>
      </c>
      <c r="Q46" s="2"/>
      <c r="R46" s="19"/>
      <c r="S46" s="2"/>
      <c r="T46" s="2">
        <f>--2054.37</f>
        <v>2054.37</v>
      </c>
      <c r="U46" s="2"/>
      <c r="V46" s="19"/>
      <c r="W46" s="2"/>
      <c r="X46" s="2">
        <f t="shared" si="2"/>
        <v>-2054.37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10"/>
        <v>0</v>
      </c>
      <c r="E47" s="2"/>
      <c r="F47" s="19"/>
      <c r="G47" s="2"/>
      <c r="H47" s="2">
        <f t="shared" si="12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1"/>
        <v>0</v>
      </c>
      <c r="Q47" s="2"/>
      <c r="R47" s="19"/>
      <c r="S47" s="2"/>
      <c r="T47" s="2">
        <f>--80.71</f>
        <v>80.709999999999994</v>
      </c>
      <c r="U47" s="2"/>
      <c r="V47" s="19"/>
      <c r="W47" s="2"/>
      <c r="X47" s="2">
        <f t="shared" si="2"/>
        <v>-80.709999999999994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10"/>
        <v>0</v>
      </c>
      <c r="E48" s="2"/>
      <c r="F48" s="19"/>
      <c r="G48" s="2"/>
      <c r="H48" s="2">
        <f t="shared" si="12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1"/>
        <v>0</v>
      </c>
      <c r="Q48" s="2"/>
      <c r="R48" s="19"/>
      <c r="S48" s="2"/>
      <c r="T48" s="2">
        <f>--45.53</f>
        <v>45.53</v>
      </c>
      <c r="U48" s="2"/>
      <c r="V48" s="19"/>
      <c r="W48" s="2"/>
      <c r="X48" s="2">
        <f t="shared" si="2"/>
        <v>-45.53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10"/>
        <v>0</v>
      </c>
      <c r="E49" s="2"/>
      <c r="F49" s="19"/>
      <c r="G49" s="2"/>
      <c r="H49" s="2">
        <f t="shared" si="12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1"/>
        <v>0</v>
      </c>
      <c r="Q49" s="2"/>
      <c r="R49" s="19"/>
      <c r="S49" s="2"/>
      <c r="T49" s="2">
        <f>--68.25</f>
        <v>68.25</v>
      </c>
      <c r="U49" s="2"/>
      <c r="V49" s="19"/>
      <c r="W49" s="2"/>
      <c r="X49" s="2">
        <f t="shared" si="2"/>
        <v>-68.25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 t="shared" si="10"/>
        <v>0</v>
      </c>
      <c r="E50" s="2"/>
      <c r="F50" s="19"/>
      <c r="G50" s="2"/>
      <c r="H50" s="2">
        <f>--13163.04</f>
        <v>13163.04</v>
      </c>
      <c r="I50" s="2"/>
      <c r="J50" s="19"/>
      <c r="K50" s="2"/>
      <c r="L50" s="2">
        <f t="shared" si="0"/>
        <v>-13163.04</v>
      </c>
      <c r="M50" s="2"/>
      <c r="N50" s="19">
        <f t="shared" si="1"/>
        <v>-1</v>
      </c>
      <c r="O50" s="11"/>
      <c r="P50" s="2">
        <f t="shared" si="11"/>
        <v>0</v>
      </c>
      <c r="Q50" s="2"/>
      <c r="R50" s="19"/>
      <c r="S50" s="2"/>
      <c r="T50" s="2">
        <f>--30615.48</f>
        <v>30615.48</v>
      </c>
      <c r="U50" s="2"/>
      <c r="V50" s="19"/>
      <c r="W50" s="2"/>
      <c r="X50" s="2">
        <f t="shared" si="2"/>
        <v>-30615.48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-460.55</f>
        <v>-460.55</v>
      </c>
      <c r="E51" s="2"/>
      <c r="F51" s="19"/>
      <c r="G51" s="2"/>
      <c r="H51" s="2">
        <f>--437.71</f>
        <v>437.71</v>
      </c>
      <c r="I51" s="2"/>
      <c r="J51" s="19"/>
      <c r="K51" s="2"/>
      <c r="L51" s="2">
        <f t="shared" si="0"/>
        <v>-898.26</v>
      </c>
      <c r="M51" s="2"/>
      <c r="N51" s="19">
        <f t="shared" si="1"/>
        <v>-2.0521806675652829</v>
      </c>
      <c r="O51" s="11"/>
      <c r="P51" s="2">
        <f t="shared" si="11"/>
        <v>0</v>
      </c>
      <c r="Q51" s="2"/>
      <c r="R51" s="19"/>
      <c r="S51" s="2"/>
      <c r="T51" s="2">
        <f>--3382.7</f>
        <v>3382.7</v>
      </c>
      <c r="U51" s="2"/>
      <c r="V51" s="19"/>
      <c r="W51" s="2"/>
      <c r="X51" s="2">
        <f t="shared" si="2"/>
        <v>-3382.7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 t="shared" ref="D52:D55" si="13">0</f>
        <v>0</v>
      </c>
      <c r="E52" s="2"/>
      <c r="F52" s="19"/>
      <c r="G52" s="2"/>
      <c r="H52" s="2">
        <f>--310.68</f>
        <v>310.68</v>
      </c>
      <c r="I52" s="2"/>
      <c r="J52" s="19"/>
      <c r="K52" s="2"/>
      <c r="L52" s="2">
        <f t="shared" si="0"/>
        <v>-310.68</v>
      </c>
      <c r="M52" s="2"/>
      <c r="N52" s="19">
        <f t="shared" si="1"/>
        <v>-1</v>
      </c>
      <c r="O52" s="11"/>
      <c r="P52" s="2">
        <f t="shared" si="11"/>
        <v>0</v>
      </c>
      <c r="Q52" s="2"/>
      <c r="R52" s="19"/>
      <c r="S52" s="2"/>
      <c r="T52" s="2">
        <f>--1320.41</f>
        <v>1320.41</v>
      </c>
      <c r="U52" s="2"/>
      <c r="V52" s="19"/>
      <c r="W52" s="2"/>
      <c r="X52" s="2">
        <f t="shared" si="2"/>
        <v>-1320.41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"4143", " - ", "NON-TAXABLE SALES-CARDS")</f>
        <v xml:space="preserve">          4143 - NON-TAXABLE SALES-CARDS</v>
      </c>
      <c r="C53" s="11"/>
      <c r="D53" s="2">
        <f t="shared" si="13"/>
        <v>0</v>
      </c>
      <c r="E53" s="2"/>
      <c r="F53" s="19"/>
      <c r="G53" s="2"/>
      <c r="H53" s="2">
        <f>--9.99</f>
        <v>9.99</v>
      </c>
      <c r="I53" s="2"/>
      <c r="J53" s="19"/>
      <c r="K53" s="2"/>
      <c r="L53" s="2">
        <f t="shared" si="0"/>
        <v>-9.99</v>
      </c>
      <c r="M53" s="2"/>
      <c r="N53" s="19">
        <f t="shared" si="1"/>
        <v>-1</v>
      </c>
      <c r="O53" s="11"/>
      <c r="P53" s="2">
        <f t="shared" si="11"/>
        <v>0</v>
      </c>
      <c r="Q53" s="2"/>
      <c r="R53" s="19"/>
      <c r="S53" s="2"/>
      <c r="T53" s="2">
        <f>--29.97</f>
        <v>29.97</v>
      </c>
      <c r="U53" s="2"/>
      <c r="V53" s="19"/>
      <c r="W53" s="2"/>
      <c r="X53" s="2">
        <f t="shared" si="2"/>
        <v>-29.97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 t="shared" si="13"/>
        <v>0</v>
      </c>
      <c r="E54" s="2"/>
      <c r="F54" s="19"/>
      <c r="G54" s="2"/>
      <c r="H54" s="2">
        <f>--154</f>
        <v>154</v>
      </c>
      <c r="I54" s="2"/>
      <c r="J54" s="19"/>
      <c r="K54" s="2"/>
      <c r="L54" s="2">
        <f t="shared" si="0"/>
        <v>-154</v>
      </c>
      <c r="M54" s="2"/>
      <c r="N54" s="19">
        <f t="shared" si="1"/>
        <v>-1</v>
      </c>
      <c r="O54" s="11"/>
      <c r="P54" s="2">
        <f t="shared" si="11"/>
        <v>0</v>
      </c>
      <c r="Q54" s="2"/>
      <c r="R54" s="19"/>
      <c r="S54" s="2"/>
      <c r="T54" s="2">
        <f>--369.75</f>
        <v>369.75</v>
      </c>
      <c r="U54" s="2"/>
      <c r="V54" s="19"/>
      <c r="W54" s="2"/>
      <c r="X54" s="2">
        <f t="shared" si="2"/>
        <v>-369.75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 t="shared" si="13"/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1"/>
        <v>0</v>
      </c>
      <c r="Q55" s="2"/>
      <c r="R55" s="19"/>
      <c r="S55" s="2"/>
      <c r="T55" s="2">
        <f>--35846</f>
        <v>35846</v>
      </c>
      <c r="U55" s="2"/>
      <c r="V55" s="19"/>
      <c r="W55" s="2"/>
      <c r="X55" s="2">
        <f t="shared" si="2"/>
        <v>-35846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-7492.95</f>
        <v>-7492.95</v>
      </c>
      <c r="E56" s="2"/>
      <c r="F56" s="19"/>
      <c r="G56" s="2"/>
      <c r="H56" s="2">
        <f>--21.3</f>
        <v>21.3</v>
      </c>
      <c r="I56" s="2"/>
      <c r="J56" s="19"/>
      <c r="K56" s="2"/>
      <c r="L56" s="2">
        <f t="shared" si="0"/>
        <v>-7514.25</v>
      </c>
      <c r="M56" s="2"/>
      <c r="N56" s="19">
        <f t="shared" si="1"/>
        <v>-352.78169014084506</v>
      </c>
      <c r="O56" s="11"/>
      <c r="P56" s="2">
        <f t="shared" si="11"/>
        <v>0</v>
      </c>
      <c r="Q56" s="2"/>
      <c r="R56" s="19"/>
      <c r="S56" s="2"/>
      <c r="T56" s="2">
        <f t="shared" ref="T56:T57" si="14">--86.5</f>
        <v>86.5</v>
      </c>
      <c r="U56" s="2"/>
      <c r="V56" s="19"/>
      <c r="W56" s="2"/>
      <c r="X56" s="2">
        <f t="shared" si="2"/>
        <v>-86.5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"4147", " - ", "NON-TAXABLE SALES-MISC")</f>
        <v xml:space="preserve">          4147 - NON-TAXABLE SALES-MISC</v>
      </c>
      <c r="C57" s="11"/>
      <c r="D57" s="2">
        <f t="shared" ref="D57:D58" si="15">0</f>
        <v>0</v>
      </c>
      <c r="E57" s="2"/>
      <c r="F57" s="19"/>
      <c r="G57" s="2"/>
      <c r="H57" s="2">
        <f>--38.5</f>
        <v>38.5</v>
      </c>
      <c r="I57" s="2"/>
      <c r="J57" s="19"/>
      <c r="K57" s="2"/>
      <c r="L57" s="2">
        <f t="shared" si="0"/>
        <v>-38.5</v>
      </c>
      <c r="M57" s="2"/>
      <c r="N57" s="19">
        <f t="shared" si="1"/>
        <v>-1</v>
      </c>
      <c r="O57" s="11"/>
      <c r="P57" s="2">
        <f t="shared" si="11"/>
        <v>0</v>
      </c>
      <c r="Q57" s="2"/>
      <c r="R57" s="19"/>
      <c r="S57" s="2"/>
      <c r="T57" s="2">
        <f t="shared" si="14"/>
        <v>86.5</v>
      </c>
      <c r="U57" s="2"/>
      <c r="V57" s="19"/>
      <c r="W57" s="2"/>
      <c r="X57" s="2">
        <f t="shared" si="2"/>
        <v>-86.5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"4153", " - ", "NON-TAXABLE SALES-FOOD")</f>
        <v xml:space="preserve">          4153 - NON-TAXABLE SALES-FOOD</v>
      </c>
      <c r="C58" s="11"/>
      <c r="D58" s="2">
        <f t="shared" si="15"/>
        <v>0</v>
      </c>
      <c r="E58" s="2"/>
      <c r="F58" s="19"/>
      <c r="G58" s="2"/>
      <c r="H58" s="2">
        <f t="shared" ref="H58:H59" si="16"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 t="shared" si="11"/>
        <v>0</v>
      </c>
      <c r="Q58" s="2"/>
      <c r="R58" s="19"/>
      <c r="S58" s="2"/>
      <c r="T58" s="2">
        <f>--110</f>
        <v>110</v>
      </c>
      <c r="U58" s="2"/>
      <c r="V58" s="19"/>
      <c r="W58" s="2"/>
      <c r="X58" s="2">
        <f t="shared" si="2"/>
        <v>-110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"4200", " - ", "TAXABLE RETURNS")</f>
        <v xml:space="preserve">          4200 - TAXABLE RETURNS</v>
      </c>
      <c r="C59" s="11"/>
      <c r="D59" s="2">
        <f>-13940.06</f>
        <v>-13940.06</v>
      </c>
      <c r="E59" s="2"/>
      <c r="F59" s="19"/>
      <c r="G59" s="2"/>
      <c r="H59" s="2">
        <f t="shared" si="16"/>
        <v>0</v>
      </c>
      <c r="I59" s="2"/>
      <c r="J59" s="19"/>
      <c r="K59" s="2"/>
      <c r="L59" s="2">
        <f t="shared" si="0"/>
        <v>-13940.06</v>
      </c>
      <c r="M59" s="2"/>
      <c r="N59" s="19">
        <f t="shared" si="1"/>
        <v>0</v>
      </c>
      <c r="O59" s="11"/>
      <c r="P59" s="2">
        <f>-62392.97</f>
        <v>-62392.97</v>
      </c>
      <c r="Q59" s="2"/>
      <c r="R59" s="19"/>
      <c r="S59" s="2"/>
      <c r="T59" s="2">
        <f>0</f>
        <v>0</v>
      </c>
      <c r="U59" s="2"/>
      <c r="V59" s="19"/>
      <c r="W59" s="2"/>
      <c r="X59" s="2">
        <f t="shared" si="2"/>
        <v>-62392.97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"4201", " - ", "SALES RETURN TAXABLE-NEW TEXT")</f>
        <v xml:space="preserve">          4201 - SALES RETURN TAXABLE-NEW TEXT</v>
      </c>
      <c r="C60" s="11"/>
      <c r="D60" s="2">
        <f t="shared" ref="D60:D71" si="17">0</f>
        <v>0</v>
      </c>
      <c r="E60" s="2"/>
      <c r="F60" s="19"/>
      <c r="G60" s="2"/>
      <c r="H60" s="2">
        <f>-1512.25</f>
        <v>-1512.25</v>
      </c>
      <c r="I60" s="2"/>
      <c r="J60" s="19"/>
      <c r="K60" s="2"/>
      <c r="L60" s="2">
        <f t="shared" si="0"/>
        <v>1512.25</v>
      </c>
      <c r="M60" s="2"/>
      <c r="N60" s="19">
        <f t="shared" si="1"/>
        <v>-1</v>
      </c>
      <c r="O60" s="11"/>
      <c r="P60" s="2">
        <f t="shared" ref="P60:P71" si="18">0</f>
        <v>0</v>
      </c>
      <c r="Q60" s="2"/>
      <c r="R60" s="19"/>
      <c r="S60" s="2"/>
      <c r="T60" s="2">
        <f>-33761.24</f>
        <v>-33761.24</v>
      </c>
      <c r="U60" s="2"/>
      <c r="V60" s="19"/>
      <c r="W60" s="2"/>
      <c r="X60" s="2">
        <f t="shared" si="2"/>
        <v>33761.24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"4202", " - ", "SALES RETURN TAXABLE-USED TEXT")</f>
        <v xml:space="preserve">          4202 - SALES RETURN TAXABLE-USED TEXT</v>
      </c>
      <c r="C61" s="11"/>
      <c r="D61" s="2">
        <f t="shared" si="17"/>
        <v>0</v>
      </c>
      <c r="E61" s="2"/>
      <c r="F61" s="19"/>
      <c r="G61" s="2"/>
      <c r="H61" s="2">
        <f>-136.05</f>
        <v>-136.05000000000001</v>
      </c>
      <c r="I61" s="2"/>
      <c r="J61" s="19"/>
      <c r="K61" s="2"/>
      <c r="L61" s="2">
        <f t="shared" si="0"/>
        <v>136.05000000000001</v>
      </c>
      <c r="M61" s="2"/>
      <c r="N61" s="19">
        <f t="shared" si="1"/>
        <v>-1</v>
      </c>
      <c r="O61" s="11"/>
      <c r="P61" s="2">
        <f t="shared" si="18"/>
        <v>0</v>
      </c>
      <c r="Q61" s="2"/>
      <c r="R61" s="19"/>
      <c r="S61" s="2"/>
      <c r="T61" s="2">
        <f>-10529</f>
        <v>-10529</v>
      </c>
      <c r="U61" s="2"/>
      <c r="V61" s="19"/>
      <c r="W61" s="2"/>
      <c r="X61" s="2">
        <f t="shared" si="2"/>
        <v>10529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"4204", " - ", "SALES RETURN TAXABLE-DIGITAL T")</f>
        <v xml:space="preserve">          4204 - SALES RETURN TAXABLE-DIGITAL T</v>
      </c>
      <c r="C62" s="11"/>
      <c r="D62" s="2">
        <f t="shared" si="17"/>
        <v>0</v>
      </c>
      <c r="E62" s="2"/>
      <c r="F62" s="19"/>
      <c r="G62" s="2"/>
      <c r="H62" s="2">
        <f>-383.9</f>
        <v>-383.9</v>
      </c>
      <c r="I62" s="2"/>
      <c r="J62" s="19"/>
      <c r="K62" s="2"/>
      <c r="L62" s="2">
        <f t="shared" si="0"/>
        <v>383.9</v>
      </c>
      <c r="M62" s="2"/>
      <c r="N62" s="19">
        <f t="shared" si="1"/>
        <v>-1</v>
      </c>
      <c r="O62" s="11"/>
      <c r="P62" s="2">
        <f t="shared" si="18"/>
        <v>0</v>
      </c>
      <c r="Q62" s="2"/>
      <c r="R62" s="19"/>
      <c r="S62" s="2"/>
      <c r="T62" s="2">
        <f>-1630.85</f>
        <v>-1630.85</v>
      </c>
      <c r="U62" s="2"/>
      <c r="V62" s="19"/>
      <c r="W62" s="2"/>
      <c r="X62" s="2">
        <f t="shared" si="2"/>
        <v>1630.85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"4226", " - ", "SALES RETURN TAXABLE-WRITING I")</f>
        <v xml:space="preserve">          4226 - SALES RETURN TAXABLE-WRITING I</v>
      </c>
      <c r="C63" s="11"/>
      <c r="D63" s="2">
        <f t="shared" si="17"/>
        <v>0</v>
      </c>
      <c r="E63" s="2"/>
      <c r="F63" s="19"/>
      <c r="G63" s="2"/>
      <c r="H63" s="2">
        <f>-5.36</f>
        <v>-5.36</v>
      </c>
      <c r="I63" s="2"/>
      <c r="J63" s="19"/>
      <c r="K63" s="2"/>
      <c r="L63" s="2">
        <f t="shared" si="0"/>
        <v>5.36</v>
      </c>
      <c r="M63" s="2"/>
      <c r="N63" s="19">
        <f t="shared" si="1"/>
        <v>-1</v>
      </c>
      <c r="O63" s="11"/>
      <c r="P63" s="2">
        <f t="shared" si="18"/>
        <v>0</v>
      </c>
      <c r="Q63" s="2"/>
      <c r="R63" s="19"/>
      <c r="S63" s="2"/>
      <c r="T63" s="2">
        <f>-34.23</f>
        <v>-34.229999999999997</v>
      </c>
      <c r="U63" s="2"/>
      <c r="V63" s="19"/>
      <c r="W63" s="2"/>
      <c r="X63" s="2">
        <f t="shared" si="2"/>
        <v>34.229999999999997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"4227", " - ", "SALES RETURN TAXABLE-SCHOOL SU")</f>
        <v xml:space="preserve">          4227 - SALES RETURN TAXABLE-SCHOOL SU</v>
      </c>
      <c r="C64" s="11"/>
      <c r="D64" s="2">
        <f t="shared" si="17"/>
        <v>0</v>
      </c>
      <c r="E64" s="2"/>
      <c r="F64" s="19"/>
      <c r="G64" s="2"/>
      <c r="H64" s="2">
        <f>-9.99</f>
        <v>-9.99</v>
      </c>
      <c r="I64" s="2"/>
      <c r="J64" s="19"/>
      <c r="K64" s="2"/>
      <c r="L64" s="2">
        <f t="shared" si="0"/>
        <v>9.99</v>
      </c>
      <c r="M64" s="2"/>
      <c r="N64" s="19">
        <f t="shared" si="1"/>
        <v>-1</v>
      </c>
      <c r="O64" s="11"/>
      <c r="P64" s="2">
        <f t="shared" si="18"/>
        <v>0</v>
      </c>
      <c r="Q64" s="2"/>
      <c r="R64" s="19"/>
      <c r="S64" s="2"/>
      <c r="T64" s="2">
        <f>-578.66</f>
        <v>-578.66</v>
      </c>
      <c r="U64" s="2"/>
      <c r="V64" s="19"/>
      <c r="W64" s="2"/>
      <c r="X64" s="2">
        <f t="shared" si="2"/>
        <v>578.66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"4228", " - ", "SALES RETURN TAXABLE-ART/TECH")</f>
        <v xml:space="preserve">          4228 - SALES RETURN TAXABLE-ART/TECH</v>
      </c>
      <c r="C65" s="11"/>
      <c r="D65" s="2">
        <f t="shared" si="17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 t="shared" si="18"/>
        <v>0</v>
      </c>
      <c r="Q65" s="2"/>
      <c r="R65" s="19"/>
      <c r="S65" s="2"/>
      <c r="T65" s="2">
        <f>-222.2</f>
        <v>-222.2</v>
      </c>
      <c r="U65" s="2"/>
      <c r="V65" s="19"/>
      <c r="W65" s="2"/>
      <c r="X65" s="2">
        <f t="shared" si="2"/>
        <v>222.2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"4240", " - ", "SALES RETURN TAXABLE-LOGO CLOT")</f>
        <v xml:space="preserve">          4240 - SALES RETURN TAXABLE-LOGO CLOT</v>
      </c>
      <c r="C66" s="11"/>
      <c r="D66" s="2">
        <f t="shared" si="17"/>
        <v>0</v>
      </c>
      <c r="E66" s="2"/>
      <c r="F66" s="19"/>
      <c r="G66" s="2"/>
      <c r="H66" s="2">
        <f>-2239.56</f>
        <v>-2239.56</v>
      </c>
      <c r="I66" s="2"/>
      <c r="J66" s="19"/>
      <c r="K66" s="2"/>
      <c r="L66" s="2">
        <f t="shared" si="0"/>
        <v>2239.56</v>
      </c>
      <c r="M66" s="2"/>
      <c r="N66" s="19">
        <f t="shared" si="1"/>
        <v>-1</v>
      </c>
      <c r="O66" s="11"/>
      <c r="P66" s="2">
        <f t="shared" si="18"/>
        <v>0</v>
      </c>
      <c r="Q66" s="2"/>
      <c r="R66" s="19"/>
      <c r="S66" s="2"/>
      <c r="T66" s="2">
        <f>-13849.52</f>
        <v>-13849.52</v>
      </c>
      <c r="U66" s="2"/>
      <c r="V66" s="19"/>
      <c r="W66" s="2"/>
      <c r="X66" s="2">
        <f t="shared" si="2"/>
        <v>13849.52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"4241", " - ", "SALES RETURN TAXABLE-LOGO GIFT")</f>
        <v xml:space="preserve">          4241 - SALES RETURN TAXABLE-LOGO GIFT</v>
      </c>
      <c r="C67" s="11"/>
      <c r="D67" s="2">
        <f t="shared" si="17"/>
        <v>0</v>
      </c>
      <c r="E67" s="2"/>
      <c r="F67" s="19"/>
      <c r="G67" s="2"/>
      <c r="H67" s="2">
        <f>-379.45</f>
        <v>-379.45</v>
      </c>
      <c r="I67" s="2"/>
      <c r="J67" s="19"/>
      <c r="K67" s="2"/>
      <c r="L67" s="2">
        <f t="shared" si="0"/>
        <v>379.45</v>
      </c>
      <c r="M67" s="2"/>
      <c r="N67" s="19">
        <f t="shared" si="1"/>
        <v>-1</v>
      </c>
      <c r="O67" s="11"/>
      <c r="P67" s="2">
        <f t="shared" si="18"/>
        <v>0</v>
      </c>
      <c r="Q67" s="2"/>
      <c r="R67" s="19"/>
      <c r="S67" s="2"/>
      <c r="T67" s="2">
        <f>-2696.56</f>
        <v>-2696.56</v>
      </c>
      <c r="U67" s="2"/>
      <c r="V67" s="19"/>
      <c r="W67" s="2"/>
      <c r="X67" s="2">
        <f t="shared" si="2"/>
        <v>2696.56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"4242", " - ", "SALES RETURN TAXABLE-EVERYDAY")</f>
        <v xml:space="preserve">          4242 - SALES RETURN TAXABLE-EVERYDAY</v>
      </c>
      <c r="C68" s="11"/>
      <c r="D68" s="2">
        <f t="shared" si="17"/>
        <v>0</v>
      </c>
      <c r="E68" s="2"/>
      <c r="F68" s="19"/>
      <c r="G68" s="2"/>
      <c r="H68" s="2">
        <f>-266.95</f>
        <v>-266.95</v>
      </c>
      <c r="I68" s="2"/>
      <c r="J68" s="19"/>
      <c r="K68" s="2"/>
      <c r="L68" s="2">
        <f t="shared" si="0"/>
        <v>266.95</v>
      </c>
      <c r="M68" s="2"/>
      <c r="N68" s="19">
        <f t="shared" si="1"/>
        <v>-1</v>
      </c>
      <c r="O68" s="11"/>
      <c r="P68" s="2">
        <f t="shared" si="18"/>
        <v>0</v>
      </c>
      <c r="Q68" s="2"/>
      <c r="R68" s="19"/>
      <c r="S68" s="2"/>
      <c r="T68" s="2">
        <f>-1321.51</f>
        <v>-1321.51</v>
      </c>
      <c r="U68" s="2"/>
      <c r="V68" s="19"/>
      <c r="W68" s="2"/>
      <c r="X68" s="2">
        <f t="shared" si="2"/>
        <v>1321.51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"4243", " - ", "SALES RETURN TAXABLE-CARDS")</f>
        <v xml:space="preserve">          4243 - SALES RETURN TAXABLE-CARDS</v>
      </c>
      <c r="C69" s="11"/>
      <c r="D69" s="2">
        <f t="shared" si="17"/>
        <v>0</v>
      </c>
      <c r="E69" s="2"/>
      <c r="F69" s="19"/>
      <c r="G69" s="2"/>
      <c r="H69" s="2">
        <f>-829.55</f>
        <v>-829.55</v>
      </c>
      <c r="I69" s="2"/>
      <c r="J69" s="19"/>
      <c r="K69" s="2"/>
      <c r="L69" s="2">
        <f t="shared" si="0"/>
        <v>829.55</v>
      </c>
      <c r="M69" s="2"/>
      <c r="N69" s="19">
        <f t="shared" si="1"/>
        <v>-1</v>
      </c>
      <c r="O69" s="11"/>
      <c r="P69" s="2">
        <f t="shared" si="18"/>
        <v>0</v>
      </c>
      <c r="Q69" s="2"/>
      <c r="R69" s="19"/>
      <c r="S69" s="2"/>
      <c r="T69" s="2">
        <f>-982.92</f>
        <v>-982.92</v>
      </c>
      <c r="U69" s="2"/>
      <c r="V69" s="19"/>
      <c r="W69" s="2"/>
      <c r="X69" s="2">
        <f t="shared" si="2"/>
        <v>982.92</v>
      </c>
      <c r="Y69" s="2"/>
      <c r="Z69" s="19">
        <f t="shared" si="3"/>
        <v>-1</v>
      </c>
    </row>
    <row r="70" spans="1:26" s="24" customFormat="1" hidden="1" outlineLevel="1" x14ac:dyDescent="0.25">
      <c r="A70" s="44"/>
      <c r="B70" s="11" t="str">
        <f>CONCATENATE("          ", "4244", " - ", "SALES RETURN TAXABLE-ACCESSORI")</f>
        <v xml:space="preserve">          4244 - SALES RETURN TAXABLE-ACCESSORI</v>
      </c>
      <c r="C70" s="11"/>
      <c r="D70" s="2">
        <f t="shared" si="17"/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 t="shared" si="18"/>
        <v>0</v>
      </c>
      <c r="Q70" s="2"/>
      <c r="R70" s="19"/>
      <c r="S70" s="2"/>
      <c r="T70" s="2">
        <f>-410.99</f>
        <v>-410.99</v>
      </c>
      <c r="U70" s="2"/>
      <c r="V70" s="19"/>
      <c r="W70" s="2"/>
      <c r="X70" s="2">
        <f t="shared" si="2"/>
        <v>410.99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"4245", " - ", "SALES RETURN TAXABLE-SPECIAL O")</f>
        <v xml:space="preserve">          4245 - SALES RETURN TAXABLE-SPECIAL O</v>
      </c>
      <c r="C71" s="11"/>
      <c r="D71" s="2">
        <f t="shared" si="17"/>
        <v>0</v>
      </c>
      <c r="E71" s="2"/>
      <c r="F71" s="19"/>
      <c r="G71" s="2"/>
      <c r="H71" s="2">
        <f>-363.98</f>
        <v>-363.98</v>
      </c>
      <c r="I71" s="2"/>
      <c r="J71" s="19"/>
      <c r="K71" s="2"/>
      <c r="L71" s="2">
        <f t="shared" si="0"/>
        <v>363.98</v>
      </c>
      <c r="M71" s="2"/>
      <c r="N71" s="19">
        <f t="shared" si="1"/>
        <v>-1</v>
      </c>
      <c r="O71" s="11"/>
      <c r="P71" s="2">
        <f t="shared" si="18"/>
        <v>0</v>
      </c>
      <c r="Q71" s="2"/>
      <c r="R71" s="19"/>
      <c r="S71" s="2"/>
      <c r="T71" s="2">
        <f>-1546.93</f>
        <v>-1546.93</v>
      </c>
      <c r="U71" s="2"/>
      <c r="V71" s="19"/>
      <c r="W71" s="2"/>
      <c r="X71" s="2">
        <f t="shared" si="2"/>
        <v>1546.93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"4300", " - ", "NON-TAX RETURNS")</f>
        <v xml:space="preserve">          4300 - NON-TAX RETURNS</v>
      </c>
      <c r="C72" s="11"/>
      <c r="D72" s="2">
        <f>-5693.23</f>
        <v>-5693.23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-5693.23</v>
      </c>
      <c r="M72" s="2"/>
      <c r="N72" s="19">
        <f t="shared" si="1"/>
        <v>0</v>
      </c>
      <c r="O72" s="11"/>
      <c r="P72" s="2">
        <f>-25799.47</f>
        <v>-25799.47</v>
      </c>
      <c r="Q72" s="2"/>
      <c r="R72" s="19"/>
      <c r="S72" s="2"/>
      <c r="T72" s="2">
        <f>0</f>
        <v>0</v>
      </c>
      <c r="U72" s="2"/>
      <c r="V72" s="19"/>
      <c r="W72" s="2"/>
      <c r="X72" s="2">
        <f t="shared" si="2"/>
        <v>-25799.47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"4301", " - ", "SALES RETURN NON TAXABLE-NEW T")</f>
        <v xml:space="preserve">          4301 - SALES RETURN NON TAXABLE-NEW T</v>
      </c>
      <c r="C73" s="11"/>
      <c r="D73" s="2">
        <f t="shared" ref="D73:D78" si="19">0</f>
        <v>0</v>
      </c>
      <c r="E73" s="2"/>
      <c r="F73" s="19"/>
      <c r="G73" s="2"/>
      <c r="H73" s="2">
        <f>-535.49</f>
        <v>-535.49</v>
      </c>
      <c r="I73" s="2"/>
      <c r="J73" s="19"/>
      <c r="K73" s="2"/>
      <c r="L73" s="2">
        <f t="shared" si="0"/>
        <v>535.49</v>
      </c>
      <c r="M73" s="2"/>
      <c r="N73" s="19">
        <f t="shared" si="1"/>
        <v>-1</v>
      </c>
      <c r="O73" s="11"/>
      <c r="P73" s="2">
        <f t="shared" ref="P73:P78" si="20">0</f>
        <v>0</v>
      </c>
      <c r="Q73" s="2"/>
      <c r="R73" s="19"/>
      <c r="S73" s="2"/>
      <c r="T73" s="2">
        <f>-2376.17</f>
        <v>-2376.17</v>
      </c>
      <c r="U73" s="2"/>
      <c r="V73" s="19"/>
      <c r="W73" s="2"/>
      <c r="X73" s="2">
        <f t="shared" si="2"/>
        <v>2376.17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"4302", " - ", "SALES RETURN NON TAXABLE-TEXT")</f>
        <v xml:space="preserve">          4302 - SALES RETURN NON TAXABLE-TEXT</v>
      </c>
      <c r="C74" s="11"/>
      <c r="D74" s="2">
        <f t="shared" si="19"/>
        <v>0</v>
      </c>
      <c r="E74" s="2"/>
      <c r="F74" s="19"/>
      <c r="G74" s="2"/>
      <c r="H74" s="2">
        <f>-169.72</f>
        <v>-169.72</v>
      </c>
      <c r="I74" s="2"/>
      <c r="J74" s="19"/>
      <c r="K74" s="2"/>
      <c r="L74" s="2">
        <f t="shared" si="0"/>
        <v>169.72</v>
      </c>
      <c r="M74" s="2"/>
      <c r="N74" s="19">
        <f t="shared" si="1"/>
        <v>-1</v>
      </c>
      <c r="O74" s="11"/>
      <c r="P74" s="2">
        <f t="shared" si="20"/>
        <v>0</v>
      </c>
      <c r="Q74" s="2"/>
      <c r="R74" s="19"/>
      <c r="S74" s="2"/>
      <c r="T74" s="2">
        <f>-1316.8</f>
        <v>-1316.8</v>
      </c>
      <c r="U74" s="2"/>
      <c r="V74" s="19"/>
      <c r="W74" s="2"/>
      <c r="X74" s="2">
        <f t="shared" si="2"/>
        <v>1316.8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"4304", " - ", "SALES RETURN NON TAXABLE-DIGIT")</f>
        <v xml:space="preserve">          4304 - SALES RETURN NON TAXABLE-DIGIT</v>
      </c>
      <c r="C75" s="11"/>
      <c r="D75" s="2">
        <f t="shared" si="19"/>
        <v>0</v>
      </c>
      <c r="E75" s="2"/>
      <c r="F75" s="19"/>
      <c r="G75" s="2"/>
      <c r="H75" s="2">
        <f>-692.75</f>
        <v>-692.75</v>
      </c>
      <c r="I75" s="2"/>
      <c r="J75" s="19"/>
      <c r="K75" s="2"/>
      <c r="L75" s="2">
        <f t="shared" si="0"/>
        <v>692.75</v>
      </c>
      <c r="M75" s="2"/>
      <c r="N75" s="19">
        <f t="shared" si="1"/>
        <v>-1</v>
      </c>
      <c r="O75" s="11"/>
      <c r="P75" s="2">
        <f t="shared" si="20"/>
        <v>0</v>
      </c>
      <c r="Q75" s="2"/>
      <c r="R75" s="19"/>
      <c r="S75" s="2"/>
      <c r="T75" s="2">
        <f>-14102.11</f>
        <v>-14102.11</v>
      </c>
      <c r="U75" s="2"/>
      <c r="V75" s="19"/>
      <c r="W75" s="2"/>
      <c r="X75" s="2">
        <f t="shared" si="2"/>
        <v>14102.11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"4340", " - ", "SALES RETURN NON TAXABLE-LOGO")</f>
        <v xml:space="preserve">          4340 - SALES RETURN NON TAXABLE-LOGO</v>
      </c>
      <c r="C76" s="11"/>
      <c r="D76" s="2">
        <f t="shared" si="19"/>
        <v>0</v>
      </c>
      <c r="E76" s="2"/>
      <c r="F76" s="19"/>
      <c r="G76" s="2"/>
      <c r="H76" s="2">
        <f>-195.69</f>
        <v>-195.69</v>
      </c>
      <c r="I76" s="2"/>
      <c r="J76" s="19"/>
      <c r="K76" s="2"/>
      <c r="L76" s="2">
        <f t="shared" si="0"/>
        <v>195.69</v>
      </c>
      <c r="M76" s="2"/>
      <c r="N76" s="19">
        <f t="shared" si="1"/>
        <v>-1</v>
      </c>
      <c r="O76" s="11"/>
      <c r="P76" s="2">
        <f t="shared" si="20"/>
        <v>0</v>
      </c>
      <c r="Q76" s="2"/>
      <c r="R76" s="19"/>
      <c r="S76" s="2"/>
      <c r="T76" s="2">
        <f>-736.73</f>
        <v>-736.73</v>
      </c>
      <c r="U76" s="2"/>
      <c r="V76" s="19"/>
      <c r="W76" s="2"/>
      <c r="X76" s="2">
        <f t="shared" si="2"/>
        <v>736.73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"4341", " - ", "SALES RETURN NON TAXABLE-LOGO")</f>
        <v xml:space="preserve">          4341 - SALES RETURN NON TAXABLE-LOGO</v>
      </c>
      <c r="C77" s="11"/>
      <c r="D77" s="2">
        <f t="shared" si="19"/>
        <v>0</v>
      </c>
      <c r="E77" s="2"/>
      <c r="F77" s="19"/>
      <c r="G77" s="2"/>
      <c r="H77" s="2">
        <f t="shared" ref="H77:H79" si="21"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 t="shared" si="20"/>
        <v>0</v>
      </c>
      <c r="Q77" s="2"/>
      <c r="R77" s="19"/>
      <c r="S77" s="2"/>
      <c r="T77" s="2">
        <f>-146.9</f>
        <v>-146.9</v>
      </c>
      <c r="U77" s="2"/>
      <c r="V77" s="19"/>
      <c r="W77" s="2"/>
      <c r="X77" s="2">
        <f t="shared" si="2"/>
        <v>146.9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"4342", " - ", "SALES RETURN NON TAXABLE-EVERY")</f>
        <v xml:space="preserve">          4342 - SALES RETURN NON TAXABLE-EVERY</v>
      </c>
      <c r="C78" s="11"/>
      <c r="D78" s="2">
        <f t="shared" si="19"/>
        <v>0</v>
      </c>
      <c r="E78" s="2"/>
      <c r="F78" s="19"/>
      <c r="G78" s="2"/>
      <c r="H78" s="2">
        <f t="shared" si="21"/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 t="shared" si="20"/>
        <v>0</v>
      </c>
      <c r="Q78" s="2"/>
      <c r="R78" s="19"/>
      <c r="S78" s="2"/>
      <c r="T78" s="2">
        <f>-118.7</f>
        <v>-118.7</v>
      </c>
      <c r="U78" s="2"/>
      <c r="V78" s="19"/>
      <c r="W78" s="2"/>
      <c r="X78" s="2">
        <f t="shared" si="2"/>
        <v>118.7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"4500", " - ", "SALES DISCOUNT")</f>
        <v xml:space="preserve">          4500 - SALES DISCOUNT</v>
      </c>
      <c r="C79" s="11"/>
      <c r="D79" s="2">
        <f>-7607.55</f>
        <v>-7607.55</v>
      </c>
      <c r="E79" s="2"/>
      <c r="F79" s="19"/>
      <c r="G79" s="2"/>
      <c r="H79" s="2">
        <f t="shared" si="21"/>
        <v>0</v>
      </c>
      <c r="I79" s="2"/>
      <c r="J79" s="19"/>
      <c r="K79" s="2"/>
      <c r="L79" s="2">
        <f t="shared" si="0"/>
        <v>-7607.55</v>
      </c>
      <c r="M79" s="2"/>
      <c r="N79" s="19">
        <f t="shared" si="1"/>
        <v>0</v>
      </c>
      <c r="O79" s="11"/>
      <c r="P79" s="2">
        <f>-7607.55</f>
        <v>-7607.55</v>
      </c>
      <c r="Q79" s="2"/>
      <c r="R79" s="19"/>
      <c r="S79" s="2"/>
      <c r="T79" s="2">
        <f>0</f>
        <v>0</v>
      </c>
      <c r="U79" s="2"/>
      <c r="V79" s="19"/>
      <c r="W79" s="2"/>
      <c r="X79" s="2">
        <f t="shared" si="2"/>
        <v>-7607.55</v>
      </c>
      <c r="Y79" s="2"/>
      <c r="Z79" s="19">
        <f t="shared" si="3"/>
        <v>0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collapsed="1" x14ac:dyDescent="0.25">
      <c r="A81" s="10"/>
      <c r="B81" s="25" t="s">
        <v>256</v>
      </c>
      <c r="C81" s="10"/>
      <c r="D81" s="4">
        <f>SUM(OSRRefD16x_0)</f>
        <v>322826.75999999995</v>
      </c>
      <c r="E81" s="4"/>
      <c r="F81" s="12">
        <f t="shared" ref="F81:F120" si="22">IF(D$12=0,0,D81/D$12)</f>
        <v>0.56021626998006313</v>
      </c>
      <c r="G81" s="4"/>
      <c r="H81" s="4">
        <f>SUM(OSRRefH16x_0)</f>
        <v>97529.329999999944</v>
      </c>
      <c r="I81" s="4"/>
      <c r="J81" s="12">
        <f t="shared" ref="J81:J120" si="23">IF(H$12=0,0,H81/H$12)</f>
        <v>0.6091432194673837</v>
      </c>
      <c r="K81" s="4"/>
      <c r="L81" s="4">
        <f t="shared" ref="L81:L120" si="24">+D81-H81</f>
        <v>225297.43</v>
      </c>
      <c r="M81" s="4"/>
      <c r="N81" s="12">
        <f t="shared" ref="N81:N120" si="25">IF(H81=0,0,L81/H81)</f>
        <v>2.3100479619823098</v>
      </c>
      <c r="O81" s="10"/>
      <c r="P81" s="4">
        <f>SUM(OSRRefP16x_0)</f>
        <v>1839116.7399999998</v>
      </c>
      <c r="Q81" s="4"/>
      <c r="R81" s="12">
        <f t="shared" ref="R81:R120" si="26">IF(P$12=0,0,P81/P$12)</f>
        <v>0.63053042420285532</v>
      </c>
      <c r="S81" s="4"/>
      <c r="T81" s="4">
        <f>SUM(OSRRefT16x_0)</f>
        <v>1549272.2700000003</v>
      </c>
      <c r="U81" s="4"/>
      <c r="V81" s="12">
        <f t="shared" ref="V81:V120" si="27">IF(T$12=0,0,T81/T$12)</f>
        <v>0.6574193413227728</v>
      </c>
      <c r="W81" s="4"/>
      <c r="X81" s="4">
        <f t="shared" ref="X81:X120" si="28">+P81-T81</f>
        <v>289844.46999999951</v>
      </c>
      <c r="Y81" s="4"/>
      <c r="Z81" s="12">
        <f t="shared" ref="Z81:Z120" si="29">IF(T81=0,0,X81/T81)</f>
        <v>0.18708426892582247</v>
      </c>
    </row>
    <row r="82" spans="1:26" s="24" customFormat="1" hidden="1" outlineLevel="1" x14ac:dyDescent="0.25">
      <c r="A82" s="44"/>
      <c r="B82" s="11" t="str">
        <f>CONCATENATE("          ", "5000", " - ", "PURCHASES @ COST")</f>
        <v xml:space="preserve">          5000 - PURCHASES @ COST</v>
      </c>
      <c r="C82" s="11"/>
      <c r="D82" s="2">
        <v>744878.53</v>
      </c>
      <c r="E82" s="2"/>
      <c r="F82" s="19">
        <f t="shared" si="22"/>
        <v>1.2926223082151944</v>
      </c>
      <c r="G82" s="2"/>
      <c r="H82" s="2">
        <v>0</v>
      </c>
      <c r="I82" s="2"/>
      <c r="J82" s="19">
        <f t="shared" si="23"/>
        <v>0</v>
      </c>
      <c r="K82" s="2"/>
      <c r="L82" s="2">
        <f t="shared" si="24"/>
        <v>744878.53</v>
      </c>
      <c r="M82" s="2"/>
      <c r="N82" s="19">
        <f t="shared" si="25"/>
        <v>0</v>
      </c>
      <c r="O82" s="11"/>
      <c r="P82" s="2">
        <v>2316137.12</v>
      </c>
      <c r="Q82" s="2"/>
      <c r="R82" s="19">
        <f t="shared" si="26"/>
        <v>0.79407407318013967</v>
      </c>
      <c r="S82" s="2"/>
      <c r="T82" s="2">
        <v>0</v>
      </c>
      <c r="U82" s="2"/>
      <c r="V82" s="19">
        <f t="shared" si="27"/>
        <v>0</v>
      </c>
      <c r="W82" s="2"/>
      <c r="X82" s="2">
        <f t="shared" si="28"/>
        <v>2316137.12</v>
      </c>
      <c r="Y82" s="2"/>
      <c r="Z82" s="19">
        <f t="shared" si="29"/>
        <v>0</v>
      </c>
    </row>
    <row r="83" spans="1:26" s="24" customFormat="1" hidden="1" outlineLevel="1" x14ac:dyDescent="0.25">
      <c r="A83" s="44"/>
      <c r="B83" s="11" t="str">
        <f>CONCATENATE("          ", "5001", " - ", "PURCHASES @ COST-NEW TEXT")</f>
        <v xml:space="preserve">          5001 - PURCHASES @ COST-NEW TEXT</v>
      </c>
      <c r="C83" s="11"/>
      <c r="D83" s="2">
        <v>0</v>
      </c>
      <c r="E83" s="2"/>
      <c r="F83" s="19">
        <f t="shared" si="22"/>
        <v>0</v>
      </c>
      <c r="G83" s="2"/>
      <c r="H83" s="2">
        <v>55775.07</v>
      </c>
      <c r="I83" s="2"/>
      <c r="J83" s="19">
        <f t="shared" si="23"/>
        <v>0.34835680411029901</v>
      </c>
      <c r="K83" s="2"/>
      <c r="L83" s="2">
        <f t="shared" si="24"/>
        <v>-55775.07</v>
      </c>
      <c r="M83" s="2"/>
      <c r="N83" s="19">
        <f t="shared" si="25"/>
        <v>-1</v>
      </c>
      <c r="O83" s="11"/>
      <c r="P83" s="2">
        <v>0</v>
      </c>
      <c r="Q83" s="2"/>
      <c r="R83" s="19">
        <f t="shared" si="26"/>
        <v>0</v>
      </c>
      <c r="S83" s="2"/>
      <c r="T83" s="2">
        <v>1349196.83</v>
      </c>
      <c r="U83" s="2"/>
      <c r="V83" s="19">
        <f t="shared" si="27"/>
        <v>0.57251918108194955</v>
      </c>
      <c r="W83" s="2"/>
      <c r="X83" s="2">
        <f t="shared" si="28"/>
        <v>-1349196.83</v>
      </c>
      <c r="Y83" s="2"/>
      <c r="Z83" s="19">
        <f t="shared" si="29"/>
        <v>-1</v>
      </c>
    </row>
    <row r="84" spans="1:26" s="24" customFormat="1" hidden="1" outlineLevel="1" x14ac:dyDescent="0.25">
      <c r="A84" s="44"/>
      <c r="B84" s="11" t="str">
        <f>CONCATENATE("          ", "5002", " - ", "PURCHASES @ COST-USED TEXT")</f>
        <v xml:space="preserve">          5002 - PURCHASES @ COST-USED TEXT</v>
      </c>
      <c r="C84" s="11"/>
      <c r="D84" s="2"/>
      <c r="E84" s="2"/>
      <c r="F84" s="19">
        <f t="shared" si="22"/>
        <v>0</v>
      </c>
      <c r="G84" s="2"/>
      <c r="H84" s="2">
        <v>6331.95</v>
      </c>
      <c r="I84" s="2"/>
      <c r="J84" s="19">
        <f t="shared" si="23"/>
        <v>3.9547738188158398E-2</v>
      </c>
      <c r="K84" s="2"/>
      <c r="L84" s="2">
        <f t="shared" si="24"/>
        <v>-6331.95</v>
      </c>
      <c r="M84" s="2"/>
      <c r="N84" s="19">
        <f t="shared" si="25"/>
        <v>-1</v>
      </c>
      <c r="O84" s="11"/>
      <c r="P84" s="2">
        <v>0</v>
      </c>
      <c r="Q84" s="2"/>
      <c r="R84" s="19">
        <f t="shared" si="26"/>
        <v>0</v>
      </c>
      <c r="S84" s="2"/>
      <c r="T84" s="2">
        <v>303063.33</v>
      </c>
      <c r="U84" s="2"/>
      <c r="V84" s="19">
        <f t="shared" si="27"/>
        <v>0.12860211768179786</v>
      </c>
      <c r="W84" s="2"/>
      <c r="X84" s="2">
        <f t="shared" si="28"/>
        <v>-303063.33</v>
      </c>
      <c r="Y84" s="2"/>
      <c r="Z84" s="19">
        <f t="shared" si="29"/>
        <v>-1</v>
      </c>
    </row>
    <row r="85" spans="1:26" s="24" customFormat="1" hidden="1" outlineLevel="1" x14ac:dyDescent="0.25">
      <c r="A85" s="44"/>
      <c r="B85" s="11" t="str">
        <f>CONCATENATE("          ", "5003", " - ", "PURCHASES @ COST-RENTAL TEXT")</f>
        <v xml:space="preserve">          5003 - PURCHASES @ COST-RENTAL TEXT</v>
      </c>
      <c r="C85" s="11"/>
      <c r="D85" s="2"/>
      <c r="E85" s="2"/>
      <c r="F85" s="19">
        <f t="shared" si="22"/>
        <v>0</v>
      </c>
      <c r="G85" s="2"/>
      <c r="H85" s="2">
        <v>10600.69</v>
      </c>
      <c r="I85" s="2"/>
      <c r="J85" s="19">
        <f t="shared" si="23"/>
        <v>6.6209195071633364E-2</v>
      </c>
      <c r="K85" s="2"/>
      <c r="L85" s="2">
        <f t="shared" si="24"/>
        <v>-10600.69</v>
      </c>
      <c r="M85" s="2"/>
      <c r="N85" s="19">
        <f t="shared" si="25"/>
        <v>-1</v>
      </c>
      <c r="O85" s="11"/>
      <c r="P85" s="2"/>
      <c r="Q85" s="2"/>
      <c r="R85" s="19">
        <f t="shared" si="26"/>
        <v>0</v>
      </c>
      <c r="S85" s="2"/>
      <c r="T85" s="2">
        <v>-485.41</v>
      </c>
      <c r="U85" s="2"/>
      <c r="V85" s="19">
        <f t="shared" si="27"/>
        <v>-2.059792385437113E-4</v>
      </c>
      <c r="W85" s="2"/>
      <c r="X85" s="2">
        <f t="shared" si="28"/>
        <v>485.41</v>
      </c>
      <c r="Y85" s="2"/>
      <c r="Z85" s="19">
        <f t="shared" si="29"/>
        <v>-1</v>
      </c>
    </row>
    <row r="86" spans="1:26" s="24" customFormat="1" hidden="1" outlineLevel="1" x14ac:dyDescent="0.25">
      <c r="A86" s="44"/>
      <c r="B86" s="11" t="str">
        <f>CONCATENATE("          ", "5004", " - ", "PURCHASES @ COST-DIGITAL TEXT")</f>
        <v xml:space="preserve">          5004 - PURCHASES @ COST-DIGITAL TEXT</v>
      </c>
      <c r="C86" s="11"/>
      <c r="D86" s="2"/>
      <c r="E86" s="2"/>
      <c r="F86" s="19">
        <f t="shared" si="22"/>
        <v>0</v>
      </c>
      <c r="G86" s="2"/>
      <c r="H86" s="2">
        <v>12903.46</v>
      </c>
      <c r="I86" s="2"/>
      <c r="J86" s="19">
        <f t="shared" si="23"/>
        <v>8.059170678880509E-2</v>
      </c>
      <c r="K86" s="2"/>
      <c r="L86" s="2">
        <f t="shared" si="24"/>
        <v>-12903.46</v>
      </c>
      <c r="M86" s="2"/>
      <c r="N86" s="19">
        <f t="shared" si="25"/>
        <v>-1</v>
      </c>
      <c r="O86" s="11"/>
      <c r="P86" s="2">
        <v>0</v>
      </c>
      <c r="Q86" s="2"/>
      <c r="R86" s="19">
        <f t="shared" si="26"/>
        <v>0</v>
      </c>
      <c r="S86" s="2"/>
      <c r="T86" s="2">
        <v>195519.53</v>
      </c>
      <c r="U86" s="2"/>
      <c r="V86" s="19">
        <f t="shared" si="27"/>
        <v>8.2966902020610037E-2</v>
      </c>
      <c r="W86" s="2"/>
      <c r="X86" s="2">
        <f t="shared" si="28"/>
        <v>-195519.53</v>
      </c>
      <c r="Y86" s="2"/>
      <c r="Z86" s="19">
        <f t="shared" si="29"/>
        <v>-1</v>
      </c>
    </row>
    <row r="87" spans="1:26" s="24" customFormat="1" hidden="1" outlineLevel="1" x14ac:dyDescent="0.25">
      <c r="A87" s="44"/>
      <c r="B87" s="11" t="str">
        <f>CONCATENATE("          ", "5011", " - ", "PURCHASES @ COST-NO VALUE TEXT")</f>
        <v xml:space="preserve">          5011 - PURCHASES @ COST-NO VALUE TEXT</v>
      </c>
      <c r="C87" s="11"/>
      <c r="D87" s="2"/>
      <c r="E87" s="2"/>
      <c r="F87" s="19">
        <f t="shared" si="22"/>
        <v>0</v>
      </c>
      <c r="G87" s="2"/>
      <c r="H87" s="2">
        <v>67.17</v>
      </c>
      <c r="I87" s="2"/>
      <c r="J87" s="19">
        <f t="shared" si="23"/>
        <v>4.1952661882968116E-4</v>
      </c>
      <c r="K87" s="2"/>
      <c r="L87" s="2">
        <f t="shared" si="24"/>
        <v>-67.17</v>
      </c>
      <c r="M87" s="2"/>
      <c r="N87" s="19">
        <f t="shared" si="25"/>
        <v>-1</v>
      </c>
      <c r="O87" s="11"/>
      <c r="P87" s="2"/>
      <c r="Q87" s="2"/>
      <c r="R87" s="19">
        <f t="shared" si="26"/>
        <v>0</v>
      </c>
      <c r="S87" s="2"/>
      <c r="T87" s="2">
        <v>67.17</v>
      </c>
      <c r="U87" s="2"/>
      <c r="V87" s="19">
        <f t="shared" si="27"/>
        <v>2.8502967497540405E-5</v>
      </c>
      <c r="W87" s="2"/>
      <c r="X87" s="2">
        <f t="shared" si="28"/>
        <v>-67.17</v>
      </c>
      <c r="Y87" s="2"/>
      <c r="Z87" s="19">
        <f t="shared" si="29"/>
        <v>-1</v>
      </c>
    </row>
    <row r="88" spans="1:26" s="24" customFormat="1" hidden="1" outlineLevel="1" x14ac:dyDescent="0.25">
      <c r="A88" s="44"/>
      <c r="B88" s="11" t="str">
        <f>CONCATENATE("          ", "5013", " - ", "PURCHASES @ COST-TRADE BOOKS")</f>
        <v xml:space="preserve">          5013 - PURCHASES @ COST-TRADE BOOKS</v>
      </c>
      <c r="C88" s="11"/>
      <c r="D88" s="2"/>
      <c r="E88" s="2"/>
      <c r="F88" s="19">
        <f t="shared" si="22"/>
        <v>0</v>
      </c>
      <c r="G88" s="2"/>
      <c r="H88" s="2">
        <v>1384.46</v>
      </c>
      <c r="I88" s="2"/>
      <c r="J88" s="19">
        <f t="shared" si="23"/>
        <v>8.6469826217796704E-3</v>
      </c>
      <c r="K88" s="2"/>
      <c r="L88" s="2">
        <f t="shared" si="24"/>
        <v>-1384.46</v>
      </c>
      <c r="M88" s="2"/>
      <c r="N88" s="19">
        <f t="shared" si="25"/>
        <v>-1</v>
      </c>
      <c r="O88" s="11"/>
      <c r="P88" s="2"/>
      <c r="Q88" s="2"/>
      <c r="R88" s="19">
        <f t="shared" si="26"/>
        <v>0</v>
      </c>
      <c r="S88" s="2"/>
      <c r="T88" s="2">
        <v>1483.64</v>
      </c>
      <c r="U88" s="2"/>
      <c r="V88" s="19">
        <f t="shared" si="27"/>
        <v>6.2956889531116348E-4</v>
      </c>
      <c r="W88" s="2"/>
      <c r="X88" s="2">
        <f t="shared" si="28"/>
        <v>-1483.64</v>
      </c>
      <c r="Y88" s="2"/>
      <c r="Z88" s="19">
        <f t="shared" si="29"/>
        <v>-1</v>
      </c>
    </row>
    <row r="89" spans="1:26" s="24" customFormat="1" hidden="1" outlineLevel="1" x14ac:dyDescent="0.25">
      <c r="A89" s="44"/>
      <c r="B89" s="11" t="str">
        <f>CONCATENATE("          ", "5014", " - ", "PURCHASES @ COST-REMAINDERS")</f>
        <v xml:space="preserve">          5014 - PURCHASES @ COST-REMAINDERS</v>
      </c>
      <c r="C89" s="11"/>
      <c r="D89" s="2"/>
      <c r="E89" s="2"/>
      <c r="F89" s="19">
        <f t="shared" si="22"/>
        <v>0</v>
      </c>
      <c r="G89" s="2"/>
      <c r="H89" s="2">
        <v>102.92</v>
      </c>
      <c r="I89" s="2"/>
      <c r="J89" s="19">
        <f t="shared" si="23"/>
        <v>6.4281196382240272E-4</v>
      </c>
      <c r="K89" s="2"/>
      <c r="L89" s="2">
        <f t="shared" si="24"/>
        <v>-102.92</v>
      </c>
      <c r="M89" s="2"/>
      <c r="N89" s="19">
        <f t="shared" si="25"/>
        <v>-1</v>
      </c>
      <c r="O89" s="11"/>
      <c r="P89" s="2"/>
      <c r="Q89" s="2"/>
      <c r="R89" s="19">
        <f t="shared" si="26"/>
        <v>0</v>
      </c>
      <c r="S89" s="2"/>
      <c r="T89" s="2">
        <v>90.41</v>
      </c>
      <c r="U89" s="2"/>
      <c r="V89" s="19">
        <f t="shared" si="27"/>
        <v>3.8364646292282685E-5</v>
      </c>
      <c r="W89" s="2"/>
      <c r="X89" s="2">
        <f t="shared" si="28"/>
        <v>-90.41</v>
      </c>
      <c r="Y89" s="2"/>
      <c r="Z89" s="19">
        <f t="shared" si="29"/>
        <v>-1</v>
      </c>
    </row>
    <row r="90" spans="1:26" s="24" customFormat="1" hidden="1" outlineLevel="1" x14ac:dyDescent="0.25">
      <c r="A90" s="44"/>
      <c r="B90" s="11" t="str">
        <f>CONCATENATE("          ", "5025", " - ", "PURCHASES @ COST-TEST FORMS")</f>
        <v xml:space="preserve">          5025 - PURCHASES @ COST-TEST FORMS</v>
      </c>
      <c r="C90" s="11"/>
      <c r="D90" s="2"/>
      <c r="E90" s="2"/>
      <c r="F90" s="19">
        <f t="shared" si="22"/>
        <v>0</v>
      </c>
      <c r="G90" s="2"/>
      <c r="H90" s="2">
        <v>599.29</v>
      </c>
      <c r="I90" s="2"/>
      <c r="J90" s="19">
        <f t="shared" si="23"/>
        <v>3.7430118713479175E-3</v>
      </c>
      <c r="K90" s="2"/>
      <c r="L90" s="2">
        <f t="shared" si="24"/>
        <v>-599.29</v>
      </c>
      <c r="M90" s="2"/>
      <c r="N90" s="19">
        <f t="shared" si="25"/>
        <v>-1</v>
      </c>
      <c r="O90" s="11"/>
      <c r="P90" s="2"/>
      <c r="Q90" s="2"/>
      <c r="R90" s="19">
        <f t="shared" si="26"/>
        <v>0</v>
      </c>
      <c r="S90" s="2"/>
      <c r="T90" s="2">
        <v>599.29</v>
      </c>
      <c r="U90" s="2"/>
      <c r="V90" s="19">
        <f t="shared" si="27"/>
        <v>2.5430316200090796E-4</v>
      </c>
      <c r="W90" s="2"/>
      <c r="X90" s="2">
        <f t="shared" si="28"/>
        <v>-599.29</v>
      </c>
      <c r="Y90" s="2"/>
      <c r="Z90" s="19">
        <f t="shared" si="29"/>
        <v>-1</v>
      </c>
    </row>
    <row r="91" spans="1:26" s="24" customFormat="1" hidden="1" outlineLevel="1" x14ac:dyDescent="0.25">
      <c r="A91" s="44"/>
      <c r="B91" s="11" t="str">
        <f>CONCATENATE("          ", "5026", " - ", "PURCHASES @ COST-WRITING INSTR")</f>
        <v xml:space="preserve">          5026 - PURCHASES @ COST-WRITING INSTR</v>
      </c>
      <c r="C91" s="11"/>
      <c r="D91" s="2"/>
      <c r="E91" s="2"/>
      <c r="F91" s="19">
        <f t="shared" si="22"/>
        <v>0</v>
      </c>
      <c r="G91" s="2"/>
      <c r="H91" s="2">
        <v>380.02</v>
      </c>
      <c r="I91" s="2"/>
      <c r="J91" s="19">
        <f t="shared" si="23"/>
        <v>2.3735076029128394E-3</v>
      </c>
      <c r="K91" s="2"/>
      <c r="L91" s="2">
        <f t="shared" si="24"/>
        <v>-380.02</v>
      </c>
      <c r="M91" s="2"/>
      <c r="N91" s="19">
        <f t="shared" si="25"/>
        <v>-1</v>
      </c>
      <c r="O91" s="11"/>
      <c r="P91" s="2">
        <v>0</v>
      </c>
      <c r="Q91" s="2"/>
      <c r="R91" s="19">
        <f t="shared" si="26"/>
        <v>0</v>
      </c>
      <c r="S91" s="2"/>
      <c r="T91" s="2">
        <v>380.02</v>
      </c>
      <c r="U91" s="2"/>
      <c r="V91" s="19">
        <f t="shared" si="27"/>
        <v>1.6125796796807062E-4</v>
      </c>
      <c r="W91" s="2"/>
      <c r="X91" s="2">
        <f t="shared" si="28"/>
        <v>-380.02</v>
      </c>
      <c r="Y91" s="2"/>
      <c r="Z91" s="19">
        <f t="shared" si="29"/>
        <v>-1</v>
      </c>
    </row>
    <row r="92" spans="1:26" s="24" customFormat="1" hidden="1" outlineLevel="1" x14ac:dyDescent="0.25">
      <c r="A92" s="44"/>
      <c r="B92" s="11" t="str">
        <f>CONCATENATE("          ", "5027", " - ", "PURCHASES @ COST-SCHOOL SUPPLI")</f>
        <v xml:space="preserve">          5027 - PURCHASES @ COST-SCHOOL SUPPLI</v>
      </c>
      <c r="C92" s="11"/>
      <c r="D92" s="2"/>
      <c r="E92" s="2"/>
      <c r="F92" s="19">
        <f t="shared" si="22"/>
        <v>0</v>
      </c>
      <c r="G92" s="2"/>
      <c r="H92" s="2">
        <v>10567.95</v>
      </c>
      <c r="I92" s="2"/>
      <c r="J92" s="19">
        <f t="shared" si="23"/>
        <v>6.6004709415827451E-2</v>
      </c>
      <c r="K92" s="2"/>
      <c r="L92" s="2">
        <f t="shared" si="24"/>
        <v>-10567.95</v>
      </c>
      <c r="M92" s="2"/>
      <c r="N92" s="19">
        <f t="shared" si="25"/>
        <v>-1</v>
      </c>
      <c r="O92" s="11"/>
      <c r="P92" s="2">
        <v>0</v>
      </c>
      <c r="Q92" s="2"/>
      <c r="R92" s="19">
        <f t="shared" si="26"/>
        <v>0</v>
      </c>
      <c r="S92" s="2"/>
      <c r="T92" s="2">
        <v>19071.349999999999</v>
      </c>
      <c r="U92" s="2"/>
      <c r="V92" s="19">
        <f t="shared" si="27"/>
        <v>8.0927507694538801E-3</v>
      </c>
      <c r="W92" s="2"/>
      <c r="X92" s="2">
        <f t="shared" si="28"/>
        <v>-19071.349999999999</v>
      </c>
      <c r="Y92" s="2"/>
      <c r="Z92" s="19">
        <f t="shared" si="29"/>
        <v>-1</v>
      </c>
    </row>
    <row r="93" spans="1:26" s="24" customFormat="1" hidden="1" outlineLevel="1" x14ac:dyDescent="0.25">
      <c r="A93" s="44"/>
      <c r="B93" s="11" t="str">
        <f>CONCATENATE("          ", "5028", " - ", "PURCHASES @ COST-ART/TECH")</f>
        <v xml:space="preserve">          5028 - PURCHASES @ COST-ART/TECH</v>
      </c>
      <c r="C93" s="11"/>
      <c r="D93" s="2"/>
      <c r="E93" s="2"/>
      <c r="F93" s="19">
        <f t="shared" si="22"/>
        <v>0</v>
      </c>
      <c r="G93" s="2"/>
      <c r="H93" s="2">
        <v>41425.96</v>
      </c>
      <c r="I93" s="2"/>
      <c r="J93" s="19">
        <f t="shared" si="23"/>
        <v>0.25873593762950153</v>
      </c>
      <c r="K93" s="2"/>
      <c r="L93" s="2">
        <f t="shared" si="24"/>
        <v>-41425.96</v>
      </c>
      <c r="M93" s="2"/>
      <c r="N93" s="19">
        <f t="shared" si="25"/>
        <v>-1</v>
      </c>
      <c r="O93" s="11"/>
      <c r="P93" s="2">
        <v>0</v>
      </c>
      <c r="Q93" s="2"/>
      <c r="R93" s="19">
        <f t="shared" si="26"/>
        <v>0</v>
      </c>
      <c r="S93" s="2"/>
      <c r="T93" s="2">
        <v>41342.559999999998</v>
      </c>
      <c r="U93" s="2"/>
      <c r="V93" s="19">
        <f t="shared" si="27"/>
        <v>1.7543332498810689E-2</v>
      </c>
      <c r="W93" s="2"/>
      <c r="X93" s="2">
        <f t="shared" si="28"/>
        <v>-41342.559999999998</v>
      </c>
      <c r="Y93" s="2"/>
      <c r="Z93" s="19">
        <f t="shared" si="29"/>
        <v>-1</v>
      </c>
    </row>
    <row r="94" spans="1:26" s="24" customFormat="1" hidden="1" outlineLevel="1" x14ac:dyDescent="0.25">
      <c r="A94" s="44"/>
      <c r="B94" s="11" t="str">
        <f>CONCATENATE("          ", "5031", " - ", "PURCHASES @ COST-FOOD")</f>
        <v xml:space="preserve">          5031 - PURCHASES @ COST-FOOD</v>
      </c>
      <c r="C94" s="11"/>
      <c r="D94" s="2"/>
      <c r="E94" s="2"/>
      <c r="F94" s="19">
        <f t="shared" si="22"/>
        <v>0</v>
      </c>
      <c r="G94" s="2"/>
      <c r="H94" s="2">
        <v>4469.18</v>
      </c>
      <c r="I94" s="2"/>
      <c r="J94" s="19">
        <f t="shared" si="23"/>
        <v>2.7913353793974017E-2</v>
      </c>
      <c r="K94" s="2"/>
      <c r="L94" s="2">
        <f t="shared" si="24"/>
        <v>-4469.18</v>
      </c>
      <c r="M94" s="2"/>
      <c r="N94" s="19">
        <f t="shared" si="25"/>
        <v>-1</v>
      </c>
      <c r="O94" s="11"/>
      <c r="P94" s="2">
        <v>0</v>
      </c>
      <c r="Q94" s="2"/>
      <c r="R94" s="19">
        <f t="shared" si="26"/>
        <v>0</v>
      </c>
      <c r="S94" s="2"/>
      <c r="T94" s="2">
        <v>8535.1</v>
      </c>
      <c r="U94" s="2"/>
      <c r="V94" s="19">
        <f t="shared" si="27"/>
        <v>3.6217906489244768E-3</v>
      </c>
      <c r="W94" s="2"/>
      <c r="X94" s="2">
        <f t="shared" si="28"/>
        <v>-8535.1</v>
      </c>
      <c r="Y94" s="2"/>
      <c r="Z94" s="19">
        <f t="shared" si="29"/>
        <v>-1</v>
      </c>
    </row>
    <row r="95" spans="1:26" s="24" customFormat="1" hidden="1" outlineLevel="1" x14ac:dyDescent="0.25">
      <c r="A95" s="44"/>
      <c r="B95" s="11" t="str">
        <f>CONCATENATE("          ", "5040", " - ", "PURCHASES @ COST-LOGO CLOTHING")</f>
        <v xml:space="preserve">          5040 - PURCHASES @ COST-LOGO CLOTHING</v>
      </c>
      <c r="C95" s="11"/>
      <c r="D95" s="2"/>
      <c r="E95" s="2"/>
      <c r="F95" s="19">
        <f t="shared" si="22"/>
        <v>0</v>
      </c>
      <c r="G95" s="2"/>
      <c r="H95" s="2">
        <v>25420.9</v>
      </c>
      <c r="I95" s="2"/>
      <c r="J95" s="19">
        <f t="shared" si="23"/>
        <v>0.15877243151120207</v>
      </c>
      <c r="K95" s="2"/>
      <c r="L95" s="2">
        <f t="shared" si="24"/>
        <v>-25420.9</v>
      </c>
      <c r="M95" s="2"/>
      <c r="N95" s="19">
        <f t="shared" si="25"/>
        <v>-1</v>
      </c>
      <c r="O95" s="11"/>
      <c r="P95" s="2">
        <v>0</v>
      </c>
      <c r="Q95" s="2"/>
      <c r="R95" s="19">
        <f t="shared" si="26"/>
        <v>0</v>
      </c>
      <c r="S95" s="2"/>
      <c r="T95" s="2">
        <v>39170.949999999997</v>
      </c>
      <c r="U95" s="2"/>
      <c r="V95" s="19">
        <f t="shared" si="27"/>
        <v>1.662182990468632E-2</v>
      </c>
      <c r="W95" s="2"/>
      <c r="X95" s="2">
        <f t="shared" si="28"/>
        <v>-39170.949999999997</v>
      </c>
      <c r="Y95" s="2"/>
      <c r="Z95" s="19">
        <f t="shared" si="29"/>
        <v>-1</v>
      </c>
    </row>
    <row r="96" spans="1:26" s="24" customFormat="1" hidden="1" outlineLevel="1" x14ac:dyDescent="0.25">
      <c r="A96" s="44"/>
      <c r="B96" s="11" t="str">
        <f>CONCATENATE("          ", "5041", " - ", "PURCHASES @ COST-LOGO GIFTS")</f>
        <v xml:space="preserve">          5041 - PURCHASES @ COST-LOGO GIFTS</v>
      </c>
      <c r="C96" s="11"/>
      <c r="D96" s="2"/>
      <c r="E96" s="2"/>
      <c r="F96" s="19">
        <f t="shared" si="22"/>
        <v>0</v>
      </c>
      <c r="G96" s="2"/>
      <c r="H96" s="2">
        <v>15289.8</v>
      </c>
      <c r="I96" s="2"/>
      <c r="J96" s="19">
        <f t="shared" si="23"/>
        <v>9.5496175325026925E-2</v>
      </c>
      <c r="K96" s="2"/>
      <c r="L96" s="2">
        <f t="shared" si="24"/>
        <v>-15289.8</v>
      </c>
      <c r="M96" s="2"/>
      <c r="N96" s="19">
        <f t="shared" si="25"/>
        <v>-1</v>
      </c>
      <c r="O96" s="11"/>
      <c r="P96" s="2">
        <v>0</v>
      </c>
      <c r="Q96" s="2"/>
      <c r="R96" s="19">
        <f t="shared" si="26"/>
        <v>0</v>
      </c>
      <c r="S96" s="2"/>
      <c r="T96" s="2">
        <v>17287.34</v>
      </c>
      <c r="U96" s="2"/>
      <c r="V96" s="19">
        <f t="shared" si="27"/>
        <v>7.3357226461058531E-3</v>
      </c>
      <c r="W96" s="2"/>
      <c r="X96" s="2">
        <f t="shared" si="28"/>
        <v>-17287.34</v>
      </c>
      <c r="Y96" s="2"/>
      <c r="Z96" s="19">
        <f t="shared" si="29"/>
        <v>-1</v>
      </c>
    </row>
    <row r="97" spans="1:26" s="24" customFormat="1" hidden="1" outlineLevel="1" x14ac:dyDescent="0.25">
      <c r="A97" s="44"/>
      <c r="B97" s="11" t="str">
        <f>CONCATENATE("          ", "5042", " - ", "PURCHASES @ COST-EVERYDAY GIFT")</f>
        <v xml:space="preserve">          5042 - PURCHASES @ COST-EVERYDAY GIFT</v>
      </c>
      <c r="C97" s="11"/>
      <c r="D97" s="2"/>
      <c r="E97" s="2"/>
      <c r="F97" s="19">
        <f t="shared" si="22"/>
        <v>0</v>
      </c>
      <c r="G97" s="2"/>
      <c r="H97" s="2">
        <v>9421.5300000000007</v>
      </c>
      <c r="I97" s="2"/>
      <c r="J97" s="19">
        <f t="shared" si="23"/>
        <v>5.8844463675783928E-2</v>
      </c>
      <c r="K97" s="2"/>
      <c r="L97" s="2">
        <f t="shared" si="24"/>
        <v>-9421.5300000000007</v>
      </c>
      <c r="M97" s="2"/>
      <c r="N97" s="19">
        <f t="shared" si="25"/>
        <v>-1</v>
      </c>
      <c r="O97" s="11"/>
      <c r="P97" s="2">
        <v>0</v>
      </c>
      <c r="Q97" s="2"/>
      <c r="R97" s="19">
        <f t="shared" si="26"/>
        <v>0</v>
      </c>
      <c r="S97" s="2"/>
      <c r="T97" s="2">
        <v>10912.68</v>
      </c>
      <c r="U97" s="2"/>
      <c r="V97" s="19">
        <f t="shared" si="27"/>
        <v>4.6306947052413162E-3</v>
      </c>
      <c r="W97" s="2"/>
      <c r="X97" s="2">
        <f t="shared" si="28"/>
        <v>-10912.68</v>
      </c>
      <c r="Y97" s="2"/>
      <c r="Z97" s="19">
        <f t="shared" si="29"/>
        <v>-1</v>
      </c>
    </row>
    <row r="98" spans="1:26" s="24" customFormat="1" hidden="1" outlineLevel="1" x14ac:dyDescent="0.25">
      <c r="A98" s="44"/>
      <c r="B98" s="11" t="str">
        <f>CONCATENATE("          ", "5043", " - ", "PURCHASES @ COST-CARDS")</f>
        <v xml:space="preserve">          5043 - PURCHASES @ COST-CARDS</v>
      </c>
      <c r="C98" s="11"/>
      <c r="D98" s="2"/>
      <c r="E98" s="2"/>
      <c r="F98" s="19">
        <f t="shared" si="22"/>
        <v>0</v>
      </c>
      <c r="G98" s="2"/>
      <c r="H98" s="2">
        <v>2526.75</v>
      </c>
      <c r="I98" s="2"/>
      <c r="J98" s="19">
        <f t="shared" si="23"/>
        <v>1.5781433439450602E-2</v>
      </c>
      <c r="K98" s="2"/>
      <c r="L98" s="2">
        <f t="shared" si="24"/>
        <v>-2526.75</v>
      </c>
      <c r="M98" s="2"/>
      <c r="N98" s="19">
        <f t="shared" si="25"/>
        <v>-1</v>
      </c>
      <c r="O98" s="11"/>
      <c r="P98" s="2">
        <v>0</v>
      </c>
      <c r="Q98" s="2"/>
      <c r="R98" s="19">
        <f t="shared" si="26"/>
        <v>0</v>
      </c>
      <c r="S98" s="2"/>
      <c r="T98" s="2">
        <v>5643</v>
      </c>
      <c r="U98" s="2"/>
      <c r="V98" s="19">
        <f t="shared" si="27"/>
        <v>2.3945547951261053E-3</v>
      </c>
      <c r="W98" s="2"/>
      <c r="X98" s="2">
        <f t="shared" si="28"/>
        <v>-5643</v>
      </c>
      <c r="Y98" s="2"/>
      <c r="Z98" s="19">
        <f t="shared" si="29"/>
        <v>-1</v>
      </c>
    </row>
    <row r="99" spans="1:26" s="24" customFormat="1" hidden="1" outlineLevel="1" x14ac:dyDescent="0.25">
      <c r="A99" s="44"/>
      <c r="B99" s="11" t="str">
        <f>CONCATENATE("          ", "5044", " - ", "PURCHASES @ COST-ACCESSORIES")</f>
        <v xml:space="preserve">          5044 - PURCHASES @ COST-ACCESSORIES</v>
      </c>
      <c r="C99" s="11"/>
      <c r="D99" s="2"/>
      <c r="E99" s="2"/>
      <c r="F99" s="19">
        <f t="shared" si="22"/>
        <v>0</v>
      </c>
      <c r="G99" s="2"/>
      <c r="H99" s="2"/>
      <c r="I99" s="2"/>
      <c r="J99" s="19">
        <f t="shared" si="23"/>
        <v>0</v>
      </c>
      <c r="K99" s="2"/>
      <c r="L99" s="2">
        <f t="shared" si="24"/>
        <v>0</v>
      </c>
      <c r="M99" s="2"/>
      <c r="N99" s="19">
        <f t="shared" si="25"/>
        <v>0</v>
      </c>
      <c r="O99" s="11"/>
      <c r="P99" s="2">
        <v>0</v>
      </c>
      <c r="Q99" s="2"/>
      <c r="R99" s="19">
        <f t="shared" si="26"/>
        <v>0</v>
      </c>
      <c r="S99" s="2"/>
      <c r="T99" s="2"/>
      <c r="U99" s="2"/>
      <c r="V99" s="19">
        <f t="shared" si="27"/>
        <v>0</v>
      </c>
      <c r="W99" s="2"/>
      <c r="X99" s="2">
        <f t="shared" si="28"/>
        <v>0</v>
      </c>
      <c r="Y99" s="2"/>
      <c r="Z99" s="19">
        <f t="shared" si="29"/>
        <v>0</v>
      </c>
    </row>
    <row r="100" spans="1:26" s="24" customFormat="1" hidden="1" outlineLevel="1" x14ac:dyDescent="0.25">
      <c r="A100" s="44"/>
      <c r="B100" s="11" t="str">
        <f>CONCATENATE("          ", "5045", " - ", "PURCHASES @ COST-SPECIAL ORDER")</f>
        <v xml:space="preserve">          5045 - PURCHASES @ COST-SPECIAL ORDER</v>
      </c>
      <c r="C100" s="11"/>
      <c r="D100" s="2"/>
      <c r="E100" s="2"/>
      <c r="F100" s="19">
        <f t="shared" si="22"/>
        <v>0</v>
      </c>
      <c r="G100" s="2"/>
      <c r="H100" s="2">
        <v>10080.23</v>
      </c>
      <c r="I100" s="2"/>
      <c r="J100" s="19">
        <f t="shared" si="23"/>
        <v>6.2958535193174292E-2</v>
      </c>
      <c r="K100" s="2"/>
      <c r="L100" s="2">
        <f t="shared" si="24"/>
        <v>-10080.23</v>
      </c>
      <c r="M100" s="2"/>
      <c r="N100" s="19">
        <f t="shared" si="25"/>
        <v>-1</v>
      </c>
      <c r="O100" s="11"/>
      <c r="P100" s="2">
        <v>0</v>
      </c>
      <c r="Q100" s="2"/>
      <c r="R100" s="19">
        <f t="shared" si="26"/>
        <v>0</v>
      </c>
      <c r="S100" s="2"/>
      <c r="T100" s="2">
        <v>71254.52</v>
      </c>
      <c r="U100" s="2"/>
      <c r="V100" s="19">
        <f t="shared" si="27"/>
        <v>3.0236195736382952E-2</v>
      </c>
      <c r="W100" s="2"/>
      <c r="X100" s="2">
        <f t="shared" si="28"/>
        <v>-71254.52</v>
      </c>
      <c r="Y100" s="2"/>
      <c r="Z100" s="19">
        <f t="shared" si="29"/>
        <v>-1</v>
      </c>
    </row>
    <row r="101" spans="1:26" s="24" customFormat="1" hidden="1" outlineLevel="1" x14ac:dyDescent="0.25">
      <c r="A101" s="44"/>
      <c r="B101" s="11" t="str">
        <f>CONCATENATE("          ", "5053", " - ", "PURCHASES @ COST-FOOD")</f>
        <v xml:space="preserve">          5053 - PURCHASES @ COST-FOOD</v>
      </c>
      <c r="C101" s="11"/>
      <c r="D101" s="2">
        <v>12727.12</v>
      </c>
      <c r="E101" s="2"/>
      <c r="F101" s="19">
        <f t="shared" si="22"/>
        <v>2.2085962433810204E-2</v>
      </c>
      <c r="G101" s="2"/>
      <c r="H101" s="2">
        <v>-570.16999999999996</v>
      </c>
      <c r="I101" s="2"/>
      <c r="J101" s="19">
        <f t="shared" si="23"/>
        <v>-3.5611358085174826E-3</v>
      </c>
      <c r="K101" s="2"/>
      <c r="L101" s="2">
        <f t="shared" si="24"/>
        <v>13297.29</v>
      </c>
      <c r="M101" s="2"/>
      <c r="N101" s="19">
        <f t="shared" si="25"/>
        <v>-23.321623375484506</v>
      </c>
      <c r="O101" s="11"/>
      <c r="P101" s="2">
        <v>36083</v>
      </c>
      <c r="Q101" s="2"/>
      <c r="R101" s="19">
        <f t="shared" si="26"/>
        <v>1.2370845635667278E-2</v>
      </c>
      <c r="S101" s="2"/>
      <c r="T101" s="2">
        <v>-2855.57</v>
      </c>
      <c r="U101" s="2"/>
      <c r="V101" s="19">
        <f t="shared" si="27"/>
        <v>-1.2117346865706633E-3</v>
      </c>
      <c r="W101" s="2"/>
      <c r="X101" s="2">
        <f t="shared" si="28"/>
        <v>38938.57</v>
      </c>
      <c r="Y101" s="2"/>
      <c r="Z101" s="19">
        <f t="shared" si="29"/>
        <v>-13.636006121369814</v>
      </c>
    </row>
    <row r="102" spans="1:26" s="24" customFormat="1" hidden="1" outlineLevel="1" x14ac:dyDescent="0.25">
      <c r="A102" s="44"/>
      <c r="B102" s="11" t="str">
        <f>CONCATENATE("          ", "5059", " - ", "PURCHASES @ COST-FOOD")</f>
        <v xml:space="preserve">          5059 - PURCHASES @ COST-FOOD</v>
      </c>
      <c r="C102" s="11"/>
      <c r="D102" s="2">
        <v>-579.55999999999995</v>
      </c>
      <c r="E102" s="2"/>
      <c r="F102" s="19">
        <f t="shared" si="22"/>
        <v>-1.0057373850595453E-3</v>
      </c>
      <c r="G102" s="2"/>
      <c r="H102" s="2">
        <v>11629</v>
      </c>
      <c r="I102" s="2"/>
      <c r="J102" s="19">
        <f t="shared" si="23"/>
        <v>7.263175599777226E-2</v>
      </c>
      <c r="K102" s="2"/>
      <c r="L102" s="2">
        <f t="shared" si="24"/>
        <v>-12208.56</v>
      </c>
      <c r="M102" s="2"/>
      <c r="N102" s="19">
        <f t="shared" si="25"/>
        <v>-1.0498374752773239</v>
      </c>
      <c r="O102" s="11"/>
      <c r="P102" s="2">
        <v>-12717.16</v>
      </c>
      <c r="Q102" s="2"/>
      <c r="R102" s="19">
        <f t="shared" si="26"/>
        <v>-4.360003970958138E-3</v>
      </c>
      <c r="S102" s="2"/>
      <c r="T102" s="2">
        <v>11697.91</v>
      </c>
      <c r="U102" s="2"/>
      <c r="V102" s="19">
        <f t="shared" si="27"/>
        <v>4.96389978441496E-3</v>
      </c>
      <c r="W102" s="2"/>
      <c r="X102" s="2">
        <f t="shared" si="28"/>
        <v>-24415.07</v>
      </c>
      <c r="Y102" s="2"/>
      <c r="Z102" s="19">
        <f t="shared" si="29"/>
        <v>-2.0871309490327761</v>
      </c>
    </row>
    <row r="103" spans="1:26" s="24" customFormat="1" hidden="1" outlineLevel="1" x14ac:dyDescent="0.25">
      <c r="A103" s="44"/>
      <c r="B103" s="11" t="str">
        <f>CONCATENATE("          ", "5092", " - ", "PURCHASES @ COST-GRAD MERCH")</f>
        <v xml:space="preserve">          5092 - PURCHASES @ COST-GRAD MERCH</v>
      </c>
      <c r="C103" s="11"/>
      <c r="D103" s="2"/>
      <c r="E103" s="2"/>
      <c r="F103" s="19">
        <f t="shared" si="22"/>
        <v>0</v>
      </c>
      <c r="G103" s="2"/>
      <c r="H103" s="2"/>
      <c r="I103" s="2"/>
      <c r="J103" s="19">
        <f t="shared" si="23"/>
        <v>0</v>
      </c>
      <c r="K103" s="2"/>
      <c r="L103" s="2">
        <f t="shared" si="24"/>
        <v>0</v>
      </c>
      <c r="M103" s="2"/>
      <c r="N103" s="19">
        <f t="shared" si="25"/>
        <v>0</v>
      </c>
      <c r="O103" s="11"/>
      <c r="P103" s="2"/>
      <c r="Q103" s="2"/>
      <c r="R103" s="19">
        <f t="shared" si="26"/>
        <v>0</v>
      </c>
      <c r="S103" s="2"/>
      <c r="T103" s="2">
        <v>0</v>
      </c>
      <c r="U103" s="2"/>
      <c r="V103" s="19">
        <f t="shared" si="27"/>
        <v>0</v>
      </c>
      <c r="W103" s="2"/>
      <c r="X103" s="2">
        <f t="shared" si="28"/>
        <v>0</v>
      </c>
      <c r="Y103" s="2"/>
      <c r="Z103" s="19">
        <f t="shared" si="29"/>
        <v>0</v>
      </c>
    </row>
    <row r="104" spans="1:26" s="24" customFormat="1" hidden="1" outlineLevel="1" x14ac:dyDescent="0.25">
      <c r="A104" s="44"/>
      <c r="B104" s="11" t="str">
        <f>CONCATENATE("          ", "5200", " - ", "PURCHASES OFFSET")</f>
        <v xml:space="preserve">          5200 - PURCHASES OFFSET</v>
      </c>
      <c r="C104" s="11"/>
      <c r="D104" s="2">
        <v>-764729.36</v>
      </c>
      <c r="E104" s="2"/>
      <c r="F104" s="19">
        <f t="shared" si="22"/>
        <v>-1.3270703754652833</v>
      </c>
      <c r="G104" s="2"/>
      <c r="H104" s="2">
        <v>-234183.51</v>
      </c>
      <c r="I104" s="2"/>
      <c r="J104" s="19">
        <f t="shared" si="23"/>
        <v>-1.4626502327819983</v>
      </c>
      <c r="K104" s="2"/>
      <c r="L104" s="2">
        <f t="shared" si="24"/>
        <v>-530545.85</v>
      </c>
      <c r="M104" s="2"/>
      <c r="N104" s="19">
        <f t="shared" si="25"/>
        <v>2.2655132720489157</v>
      </c>
      <c r="O104" s="11"/>
      <c r="P104" s="2">
        <v>-2112354.9900000002</v>
      </c>
      <c r="Q104" s="2"/>
      <c r="R104" s="19">
        <f t="shared" si="26"/>
        <v>-0.72420856106813458</v>
      </c>
      <c r="S104" s="2"/>
      <c r="T104" s="2">
        <v>-1769157.19</v>
      </c>
      <c r="U104" s="2"/>
      <c r="V104" s="19">
        <f t="shared" si="27"/>
        <v>-0.75072547096337516</v>
      </c>
      <c r="W104" s="2"/>
      <c r="X104" s="2">
        <f t="shared" si="28"/>
        <v>-343197.80000000028</v>
      </c>
      <c r="Y104" s="2"/>
      <c r="Z104" s="19">
        <f t="shared" si="29"/>
        <v>0.19398943290053289</v>
      </c>
    </row>
    <row r="105" spans="1:26" s="24" customFormat="1" hidden="1" outlineLevel="1" x14ac:dyDescent="0.25">
      <c r="A105" s="44"/>
      <c r="B105" s="11" t="str">
        <f>CONCATENATE("          ", "5300", " - ", "COG$ OFFSET")</f>
        <v xml:space="preserve">          5300 - COG$ OFFSET</v>
      </c>
      <c r="C105" s="11"/>
      <c r="D105" s="2">
        <v>308234.86</v>
      </c>
      <c r="E105" s="2"/>
      <c r="F105" s="19">
        <f t="shared" si="22"/>
        <v>0.53489426820449137</v>
      </c>
      <c r="G105" s="2"/>
      <c r="H105" s="2">
        <v>85211</v>
      </c>
      <c r="I105" s="2"/>
      <c r="J105" s="19">
        <f t="shared" si="23"/>
        <v>0.53220608481607801</v>
      </c>
      <c r="K105" s="2"/>
      <c r="L105" s="2">
        <f t="shared" si="24"/>
        <v>223023.86</v>
      </c>
      <c r="M105" s="2"/>
      <c r="N105" s="19">
        <f t="shared" si="25"/>
        <v>2.6173130229665182</v>
      </c>
      <c r="O105" s="11"/>
      <c r="P105" s="2">
        <v>1562332.81</v>
      </c>
      <c r="Q105" s="2"/>
      <c r="R105" s="19">
        <f t="shared" si="26"/>
        <v>0.53563667167497975</v>
      </c>
      <c r="S105" s="2"/>
      <c r="T105" s="2">
        <v>1195689</v>
      </c>
      <c r="U105" s="2"/>
      <c r="V105" s="19">
        <f t="shared" si="27"/>
        <v>0.50737955492283149</v>
      </c>
      <c r="W105" s="2"/>
      <c r="X105" s="2">
        <f t="shared" si="28"/>
        <v>366643.81000000006</v>
      </c>
      <c r="Y105" s="2"/>
      <c r="Z105" s="19">
        <f t="shared" si="29"/>
        <v>0.3066381057281618</v>
      </c>
    </row>
    <row r="106" spans="1:26" s="24" customFormat="1" hidden="1" outlineLevel="1" x14ac:dyDescent="0.25">
      <c r="A106" s="44"/>
      <c r="B106" s="11" t="str">
        <f>CONCATENATE("          ", "5500", " - ", "FREIGHT-IN")</f>
        <v xml:space="preserve">          5500 - FREIGHT-IN</v>
      </c>
      <c r="C106" s="11"/>
      <c r="D106" s="2">
        <v>22295.17</v>
      </c>
      <c r="E106" s="2"/>
      <c r="F106" s="19">
        <f t="shared" si="22"/>
        <v>3.8689843976910103E-2</v>
      </c>
      <c r="G106" s="2"/>
      <c r="H106" s="2"/>
      <c r="I106" s="2"/>
      <c r="J106" s="19">
        <f t="shared" si="23"/>
        <v>0</v>
      </c>
      <c r="K106" s="2"/>
      <c r="L106" s="2">
        <f t="shared" si="24"/>
        <v>22295.17</v>
      </c>
      <c r="M106" s="2"/>
      <c r="N106" s="19">
        <f t="shared" si="25"/>
        <v>0</v>
      </c>
      <c r="O106" s="11"/>
      <c r="P106" s="2">
        <v>49635.96</v>
      </c>
      <c r="Q106" s="2"/>
      <c r="R106" s="19">
        <f t="shared" si="26"/>
        <v>1.7017398751161365E-2</v>
      </c>
      <c r="S106" s="2"/>
      <c r="T106" s="2">
        <v>0</v>
      </c>
      <c r="U106" s="2"/>
      <c r="V106" s="19">
        <f t="shared" si="27"/>
        <v>0</v>
      </c>
      <c r="W106" s="2"/>
      <c r="X106" s="2">
        <f t="shared" si="28"/>
        <v>49635.96</v>
      </c>
      <c r="Y106" s="2"/>
      <c r="Z106" s="19">
        <f t="shared" si="29"/>
        <v>0</v>
      </c>
    </row>
    <row r="107" spans="1:26" s="24" customFormat="1" hidden="1" outlineLevel="1" x14ac:dyDescent="0.25">
      <c r="A107" s="44"/>
      <c r="B107" s="11" t="str">
        <f>CONCATENATE("          ", "5501", " - ", "FREIGHT-IN-NEW TEXT")</f>
        <v xml:space="preserve">          5501 - FREIGHT-IN-NEW TEXT</v>
      </c>
      <c r="C107" s="11"/>
      <c r="D107" s="2">
        <v>0</v>
      </c>
      <c r="E107" s="2"/>
      <c r="F107" s="19">
        <f t="shared" si="22"/>
        <v>0</v>
      </c>
      <c r="G107" s="2"/>
      <c r="H107" s="2">
        <v>23295.74</v>
      </c>
      <c r="I107" s="2"/>
      <c r="J107" s="19">
        <f t="shared" si="23"/>
        <v>0.14549922637092985</v>
      </c>
      <c r="K107" s="2"/>
      <c r="L107" s="2">
        <f t="shared" si="24"/>
        <v>-23295.74</v>
      </c>
      <c r="M107" s="2"/>
      <c r="N107" s="19">
        <f t="shared" si="25"/>
        <v>-1</v>
      </c>
      <c r="O107" s="11"/>
      <c r="P107" s="2">
        <v>0</v>
      </c>
      <c r="Q107" s="2"/>
      <c r="R107" s="19">
        <f t="shared" si="26"/>
        <v>0</v>
      </c>
      <c r="S107" s="2"/>
      <c r="T107" s="2">
        <v>34058.620000000003</v>
      </c>
      <c r="U107" s="2"/>
      <c r="V107" s="19">
        <f t="shared" si="27"/>
        <v>1.4452460009990764E-2</v>
      </c>
      <c r="W107" s="2"/>
      <c r="X107" s="2">
        <f t="shared" si="28"/>
        <v>-34058.620000000003</v>
      </c>
      <c r="Y107" s="2"/>
      <c r="Z107" s="19">
        <f t="shared" si="29"/>
        <v>-1</v>
      </c>
    </row>
    <row r="108" spans="1:26" s="24" customFormat="1" hidden="1" outlineLevel="1" x14ac:dyDescent="0.25">
      <c r="A108" s="44"/>
      <c r="B108" s="11" t="str">
        <f>CONCATENATE("          ", "5502", " - ", "FREIGHT-IN-USED TEXT")</f>
        <v xml:space="preserve">          5502 - FREIGHT-IN-USED TEXT</v>
      </c>
      <c r="C108" s="11"/>
      <c r="D108" s="2"/>
      <c r="E108" s="2"/>
      <c r="F108" s="19">
        <f t="shared" si="22"/>
        <v>0</v>
      </c>
      <c r="G108" s="2"/>
      <c r="H108" s="2">
        <v>2233.9</v>
      </c>
      <c r="I108" s="2"/>
      <c r="J108" s="19">
        <f t="shared" si="23"/>
        <v>1.395236733368505E-2</v>
      </c>
      <c r="K108" s="2"/>
      <c r="L108" s="2">
        <f t="shared" si="24"/>
        <v>-2233.9</v>
      </c>
      <c r="M108" s="2"/>
      <c r="N108" s="19">
        <f t="shared" si="25"/>
        <v>-1</v>
      </c>
      <c r="O108" s="11"/>
      <c r="P108" s="2">
        <v>0</v>
      </c>
      <c r="Q108" s="2"/>
      <c r="R108" s="19">
        <f t="shared" si="26"/>
        <v>0</v>
      </c>
      <c r="S108" s="2"/>
      <c r="T108" s="2">
        <v>10744.72</v>
      </c>
      <c r="U108" s="2"/>
      <c r="V108" s="19">
        <f t="shared" si="27"/>
        <v>4.5594224345715693E-3</v>
      </c>
      <c r="W108" s="2"/>
      <c r="X108" s="2">
        <f t="shared" si="28"/>
        <v>-10744.72</v>
      </c>
      <c r="Y108" s="2"/>
      <c r="Z108" s="19">
        <f t="shared" si="29"/>
        <v>-1</v>
      </c>
    </row>
    <row r="109" spans="1:26" s="24" customFormat="1" hidden="1" outlineLevel="1" x14ac:dyDescent="0.25">
      <c r="A109" s="44"/>
      <c r="B109" s="11" t="str">
        <f>CONCATENATE("          ", "5504", " - ", "FREIGHT-IN-DIGITAL TEXT")</f>
        <v xml:space="preserve">          5504 - FREIGHT-IN-DIGITAL TEXT</v>
      </c>
      <c r="C109" s="11"/>
      <c r="D109" s="2"/>
      <c r="E109" s="2"/>
      <c r="F109" s="19">
        <f t="shared" si="22"/>
        <v>0</v>
      </c>
      <c r="G109" s="2"/>
      <c r="H109" s="2">
        <v>10.99</v>
      </c>
      <c r="I109" s="2"/>
      <c r="J109" s="19">
        <f t="shared" si="23"/>
        <v>6.8640725635524738E-5</v>
      </c>
      <c r="K109" s="2"/>
      <c r="L109" s="2">
        <f t="shared" si="24"/>
        <v>-10.99</v>
      </c>
      <c r="M109" s="2"/>
      <c r="N109" s="19">
        <f t="shared" si="25"/>
        <v>-1</v>
      </c>
      <c r="O109" s="11"/>
      <c r="P109" s="2"/>
      <c r="Q109" s="2"/>
      <c r="R109" s="19">
        <f t="shared" si="26"/>
        <v>0</v>
      </c>
      <c r="S109" s="2"/>
      <c r="T109" s="2">
        <v>21.98</v>
      </c>
      <c r="U109" s="2"/>
      <c r="V109" s="19">
        <f t="shared" si="27"/>
        <v>9.3270094624972181E-6</v>
      </c>
      <c r="W109" s="2"/>
      <c r="X109" s="2">
        <f t="shared" si="28"/>
        <v>-21.98</v>
      </c>
      <c r="Y109" s="2"/>
      <c r="Z109" s="19">
        <f t="shared" si="29"/>
        <v>-1</v>
      </c>
    </row>
    <row r="110" spans="1:26" s="24" customFormat="1" hidden="1" outlineLevel="1" x14ac:dyDescent="0.25">
      <c r="A110" s="44"/>
      <c r="B110" s="11" t="str">
        <f>CONCATENATE("          ", "5518", " - ", "FREIGHT-IN-STUDY GUIDES")</f>
        <v xml:space="preserve">          5518 - FREIGHT-IN-STUDY GUIDES</v>
      </c>
      <c r="C110" s="11"/>
      <c r="D110" s="2"/>
      <c r="E110" s="2"/>
      <c r="F110" s="19">
        <f t="shared" si="22"/>
        <v>0</v>
      </c>
      <c r="G110" s="2"/>
      <c r="H110" s="2"/>
      <c r="I110" s="2"/>
      <c r="J110" s="19">
        <f t="shared" si="23"/>
        <v>0</v>
      </c>
      <c r="K110" s="2"/>
      <c r="L110" s="2">
        <f t="shared" si="24"/>
        <v>0</v>
      </c>
      <c r="M110" s="2"/>
      <c r="N110" s="19">
        <f t="shared" si="25"/>
        <v>0</v>
      </c>
      <c r="O110" s="11"/>
      <c r="P110" s="2">
        <v>0</v>
      </c>
      <c r="Q110" s="2"/>
      <c r="R110" s="19">
        <f t="shared" si="26"/>
        <v>0</v>
      </c>
      <c r="S110" s="2"/>
      <c r="T110" s="2"/>
      <c r="U110" s="2"/>
      <c r="V110" s="19">
        <f t="shared" si="27"/>
        <v>0</v>
      </c>
      <c r="W110" s="2"/>
      <c r="X110" s="2">
        <f t="shared" si="28"/>
        <v>0</v>
      </c>
      <c r="Y110" s="2"/>
      <c r="Z110" s="19">
        <f t="shared" si="29"/>
        <v>0</v>
      </c>
    </row>
    <row r="111" spans="1:26" s="24" customFormat="1" hidden="1" outlineLevel="1" x14ac:dyDescent="0.25">
      <c r="A111" s="44"/>
      <c r="B111" s="11" t="str">
        <f>CONCATENATE("          ", "5525", " - ", "FREIGHT-IN-TEST FORMS")</f>
        <v xml:space="preserve">          5525 - FREIGHT-IN-TEST FORMS</v>
      </c>
      <c r="C111" s="11"/>
      <c r="D111" s="2"/>
      <c r="E111" s="2"/>
      <c r="F111" s="19">
        <f t="shared" si="22"/>
        <v>0</v>
      </c>
      <c r="G111" s="2"/>
      <c r="H111" s="2">
        <v>48.14</v>
      </c>
      <c r="I111" s="2"/>
      <c r="J111" s="19">
        <f t="shared" si="23"/>
        <v>3.0067011211047868E-4</v>
      </c>
      <c r="K111" s="2"/>
      <c r="L111" s="2">
        <f t="shared" si="24"/>
        <v>-48.14</v>
      </c>
      <c r="M111" s="2"/>
      <c r="N111" s="19">
        <f t="shared" si="25"/>
        <v>-1</v>
      </c>
      <c r="O111" s="11"/>
      <c r="P111" s="2"/>
      <c r="Q111" s="2"/>
      <c r="R111" s="19">
        <f t="shared" si="26"/>
        <v>0</v>
      </c>
      <c r="S111" s="2"/>
      <c r="T111" s="2">
        <v>48.14</v>
      </c>
      <c r="U111" s="2"/>
      <c r="V111" s="19">
        <f t="shared" si="27"/>
        <v>2.042776321768044E-5</v>
      </c>
      <c r="W111" s="2"/>
      <c r="X111" s="2">
        <f t="shared" si="28"/>
        <v>-48.14</v>
      </c>
      <c r="Y111" s="2"/>
      <c r="Z111" s="19">
        <f t="shared" si="29"/>
        <v>-1</v>
      </c>
    </row>
    <row r="112" spans="1:26" s="24" customFormat="1" hidden="1" outlineLevel="1" x14ac:dyDescent="0.25">
      <c r="A112" s="44"/>
      <c r="B112" s="11" t="str">
        <f>CONCATENATE("          ", "5527", " - ", "FREIGHT-IN-SCHOOL SUPPLIES")</f>
        <v xml:space="preserve">          5527 - FREIGHT-IN-SCHOOL SUPPLIES</v>
      </c>
      <c r="C112" s="11"/>
      <c r="D112" s="2"/>
      <c r="E112" s="2"/>
      <c r="F112" s="19">
        <f t="shared" si="22"/>
        <v>0</v>
      </c>
      <c r="G112" s="2"/>
      <c r="H112" s="2">
        <v>56</v>
      </c>
      <c r="I112" s="2"/>
      <c r="J112" s="19">
        <f t="shared" si="23"/>
        <v>3.4976165928929799E-4</v>
      </c>
      <c r="K112" s="2"/>
      <c r="L112" s="2">
        <f t="shared" si="24"/>
        <v>-56</v>
      </c>
      <c r="M112" s="2"/>
      <c r="N112" s="19">
        <f t="shared" si="25"/>
        <v>-1</v>
      </c>
      <c r="O112" s="11"/>
      <c r="P112" s="2">
        <v>0</v>
      </c>
      <c r="Q112" s="2"/>
      <c r="R112" s="19">
        <f t="shared" si="26"/>
        <v>0</v>
      </c>
      <c r="S112" s="2"/>
      <c r="T112" s="2">
        <v>56</v>
      </c>
      <c r="U112" s="2"/>
      <c r="V112" s="19">
        <f t="shared" si="27"/>
        <v>2.376308143311393E-5</v>
      </c>
      <c r="W112" s="2"/>
      <c r="X112" s="2">
        <f t="shared" si="28"/>
        <v>-56</v>
      </c>
      <c r="Y112" s="2"/>
      <c r="Z112" s="19">
        <f t="shared" si="29"/>
        <v>-1</v>
      </c>
    </row>
    <row r="113" spans="1:26" s="24" customFormat="1" hidden="1" outlineLevel="1" x14ac:dyDescent="0.25">
      <c r="A113" s="44"/>
      <c r="B113" s="11" t="str">
        <f>CONCATENATE("          ", "5528", " - ", "FREIGHT-IN-ART/TECH")</f>
        <v xml:space="preserve">          5528 - FREIGHT-IN-ART/TECH</v>
      </c>
      <c r="C113" s="11"/>
      <c r="D113" s="2"/>
      <c r="E113" s="2"/>
      <c r="F113" s="19">
        <f t="shared" si="22"/>
        <v>0</v>
      </c>
      <c r="G113" s="2"/>
      <c r="H113" s="2">
        <v>239.39</v>
      </c>
      <c r="I113" s="2"/>
      <c r="J113" s="19">
        <f t="shared" si="23"/>
        <v>1.4951686360225899E-3</v>
      </c>
      <c r="K113" s="2"/>
      <c r="L113" s="2">
        <f t="shared" si="24"/>
        <v>-239.39</v>
      </c>
      <c r="M113" s="2"/>
      <c r="N113" s="19">
        <f t="shared" si="25"/>
        <v>-1</v>
      </c>
      <c r="O113" s="11"/>
      <c r="P113" s="2">
        <v>0</v>
      </c>
      <c r="Q113" s="2"/>
      <c r="R113" s="19">
        <f t="shared" si="26"/>
        <v>0</v>
      </c>
      <c r="S113" s="2"/>
      <c r="T113" s="2">
        <v>284.2</v>
      </c>
      <c r="U113" s="2"/>
      <c r="V113" s="19">
        <f t="shared" si="27"/>
        <v>1.2059763827305318E-4</v>
      </c>
      <c r="W113" s="2"/>
      <c r="X113" s="2">
        <f t="shared" si="28"/>
        <v>-284.2</v>
      </c>
      <c r="Y113" s="2"/>
      <c r="Z113" s="19">
        <f t="shared" si="29"/>
        <v>-1</v>
      </c>
    </row>
    <row r="114" spans="1:26" s="24" customFormat="1" hidden="1" outlineLevel="1" x14ac:dyDescent="0.25">
      <c r="A114" s="44"/>
      <c r="B114" s="11" t="str">
        <f>CONCATENATE("          ", "5540", " - ", "FREIGHT-IN-LOGO CLOTHING")</f>
        <v xml:space="preserve">          5540 - FREIGHT-IN-LOGO CLOTHING</v>
      </c>
      <c r="C114" s="11"/>
      <c r="D114" s="2"/>
      <c r="E114" s="2"/>
      <c r="F114" s="19">
        <f t="shared" si="22"/>
        <v>0</v>
      </c>
      <c r="G114" s="2"/>
      <c r="H114" s="2">
        <v>1036.57</v>
      </c>
      <c r="I114" s="2"/>
      <c r="J114" s="19">
        <f t="shared" si="23"/>
        <v>6.4741507708840637E-3</v>
      </c>
      <c r="K114" s="2"/>
      <c r="L114" s="2">
        <f t="shared" si="24"/>
        <v>-1036.57</v>
      </c>
      <c r="M114" s="2"/>
      <c r="N114" s="19">
        <f t="shared" si="25"/>
        <v>-1</v>
      </c>
      <c r="O114" s="11"/>
      <c r="P114" s="2">
        <v>0</v>
      </c>
      <c r="Q114" s="2"/>
      <c r="R114" s="19">
        <f t="shared" si="26"/>
        <v>0</v>
      </c>
      <c r="S114" s="2"/>
      <c r="T114" s="2">
        <v>3202.33</v>
      </c>
      <c r="U114" s="2"/>
      <c r="V114" s="19">
        <f t="shared" si="27"/>
        <v>1.3588790815304238E-3</v>
      </c>
      <c r="W114" s="2"/>
      <c r="X114" s="2">
        <f t="shared" si="28"/>
        <v>-3202.33</v>
      </c>
      <c r="Y114" s="2"/>
      <c r="Z114" s="19">
        <f t="shared" si="29"/>
        <v>-1</v>
      </c>
    </row>
    <row r="115" spans="1:26" s="24" customFormat="1" hidden="1" outlineLevel="1" x14ac:dyDescent="0.25">
      <c r="A115" s="44"/>
      <c r="B115" s="11" t="str">
        <f>CONCATENATE("          ", "5541", " - ", "FREIGHT-IN-LOGO GIFTS")</f>
        <v xml:space="preserve">          5541 - FREIGHT-IN-LOGO GIFTS</v>
      </c>
      <c r="C115" s="11"/>
      <c r="D115" s="2"/>
      <c r="E115" s="2"/>
      <c r="F115" s="19">
        <f t="shared" si="22"/>
        <v>0</v>
      </c>
      <c r="G115" s="2"/>
      <c r="H115" s="2">
        <v>773.7</v>
      </c>
      <c r="I115" s="2"/>
      <c r="J115" s="19">
        <f t="shared" si="23"/>
        <v>4.8323320677166048E-3</v>
      </c>
      <c r="K115" s="2"/>
      <c r="L115" s="2">
        <f t="shared" si="24"/>
        <v>-773.7</v>
      </c>
      <c r="M115" s="2"/>
      <c r="N115" s="19">
        <f t="shared" si="25"/>
        <v>-1</v>
      </c>
      <c r="O115" s="11"/>
      <c r="P115" s="2">
        <v>0</v>
      </c>
      <c r="Q115" s="2"/>
      <c r="R115" s="19">
        <f t="shared" si="26"/>
        <v>0</v>
      </c>
      <c r="S115" s="2"/>
      <c r="T115" s="2">
        <v>1134.81</v>
      </c>
      <c r="U115" s="2"/>
      <c r="V115" s="19">
        <f t="shared" si="27"/>
        <v>4.8154611501985748E-4</v>
      </c>
      <c r="W115" s="2"/>
      <c r="X115" s="2">
        <f t="shared" si="28"/>
        <v>-1134.81</v>
      </c>
      <c r="Y115" s="2"/>
      <c r="Z115" s="19">
        <f t="shared" si="29"/>
        <v>-1</v>
      </c>
    </row>
    <row r="116" spans="1:26" s="24" customFormat="1" hidden="1" outlineLevel="1" x14ac:dyDescent="0.25">
      <c r="A116" s="44"/>
      <c r="B116" s="11" t="str">
        <f>CONCATENATE("          ", "5542", " - ", "FREIGHT-IN-EVERYDAY GIFTS")</f>
        <v xml:space="preserve">          5542 - FREIGHT-IN-EVERYDAY GIFTS</v>
      </c>
      <c r="C116" s="11"/>
      <c r="D116" s="2"/>
      <c r="E116" s="2"/>
      <c r="F116" s="19">
        <f t="shared" si="22"/>
        <v>0</v>
      </c>
      <c r="G116" s="2"/>
      <c r="H116" s="2">
        <v>104.17</v>
      </c>
      <c r="I116" s="2"/>
      <c r="J116" s="19">
        <f t="shared" si="23"/>
        <v>6.5061914371725312E-4</v>
      </c>
      <c r="K116" s="2"/>
      <c r="L116" s="2">
        <f t="shared" si="24"/>
        <v>-104.17</v>
      </c>
      <c r="M116" s="2"/>
      <c r="N116" s="19">
        <f t="shared" si="25"/>
        <v>-1</v>
      </c>
      <c r="O116" s="11"/>
      <c r="P116" s="2">
        <v>0</v>
      </c>
      <c r="Q116" s="2"/>
      <c r="R116" s="19">
        <f t="shared" si="26"/>
        <v>0</v>
      </c>
      <c r="S116" s="2"/>
      <c r="T116" s="2">
        <v>175.55</v>
      </c>
      <c r="U116" s="2"/>
      <c r="V116" s="19">
        <f t="shared" si="27"/>
        <v>7.4493016885413403E-5</v>
      </c>
      <c r="W116" s="2"/>
      <c r="X116" s="2">
        <f t="shared" si="28"/>
        <v>-175.55</v>
      </c>
      <c r="Y116" s="2"/>
      <c r="Z116" s="19">
        <f t="shared" si="29"/>
        <v>-1</v>
      </c>
    </row>
    <row r="117" spans="1:26" s="24" customFormat="1" hidden="1" outlineLevel="1" x14ac:dyDescent="0.25">
      <c r="A117" s="44"/>
      <c r="B117" s="11" t="str">
        <f>CONCATENATE("          ", "5543", " - ", "FREIGHT-IN-CARDS")</f>
        <v xml:space="preserve">          5543 - FREIGHT-IN-CARDS</v>
      </c>
      <c r="C117" s="11"/>
      <c r="D117" s="2"/>
      <c r="E117" s="2"/>
      <c r="F117" s="19">
        <f t="shared" si="22"/>
        <v>0</v>
      </c>
      <c r="G117" s="2"/>
      <c r="H117" s="2">
        <v>107.42</v>
      </c>
      <c r="I117" s="2"/>
      <c r="J117" s="19">
        <f t="shared" si="23"/>
        <v>6.7091781144386407E-4</v>
      </c>
      <c r="K117" s="2"/>
      <c r="L117" s="2">
        <f t="shared" si="24"/>
        <v>-107.42</v>
      </c>
      <c r="M117" s="2"/>
      <c r="N117" s="19">
        <f t="shared" si="25"/>
        <v>-1</v>
      </c>
      <c r="O117" s="11"/>
      <c r="P117" s="2"/>
      <c r="Q117" s="2"/>
      <c r="R117" s="19">
        <f t="shared" si="26"/>
        <v>0</v>
      </c>
      <c r="S117" s="2"/>
      <c r="T117" s="2">
        <v>189.19</v>
      </c>
      <c r="U117" s="2"/>
      <c r="V117" s="19">
        <f t="shared" si="27"/>
        <v>8.0281024577336151E-5</v>
      </c>
      <c r="W117" s="2"/>
      <c r="X117" s="2">
        <f t="shared" si="28"/>
        <v>-189.19</v>
      </c>
      <c r="Y117" s="2"/>
      <c r="Z117" s="19">
        <f t="shared" si="29"/>
        <v>-1</v>
      </c>
    </row>
    <row r="118" spans="1:26" s="24" customFormat="1" hidden="1" outlineLevel="1" x14ac:dyDescent="0.25">
      <c r="A118" s="44"/>
      <c r="B118" s="11" t="str">
        <f>CONCATENATE("          ", "5544", " - ", "FREIGHT-IN-ACCESSORIES")</f>
        <v xml:space="preserve">          5544 - FREIGHT-IN-ACCESSORIES</v>
      </c>
      <c r="C118" s="11"/>
      <c r="D118" s="2"/>
      <c r="E118" s="2"/>
      <c r="F118" s="19">
        <f t="shared" si="22"/>
        <v>0</v>
      </c>
      <c r="G118" s="2"/>
      <c r="H118" s="2"/>
      <c r="I118" s="2"/>
      <c r="J118" s="19">
        <f t="shared" si="23"/>
        <v>0</v>
      </c>
      <c r="K118" s="2"/>
      <c r="L118" s="2">
        <f t="shared" si="24"/>
        <v>0</v>
      </c>
      <c r="M118" s="2"/>
      <c r="N118" s="19">
        <f t="shared" si="25"/>
        <v>0</v>
      </c>
      <c r="O118" s="11"/>
      <c r="P118" s="2">
        <v>0</v>
      </c>
      <c r="Q118" s="2"/>
      <c r="R118" s="19">
        <f t="shared" si="26"/>
        <v>0</v>
      </c>
      <c r="S118" s="2"/>
      <c r="T118" s="2"/>
      <c r="U118" s="2"/>
      <c r="V118" s="19">
        <f t="shared" si="27"/>
        <v>0</v>
      </c>
      <c r="W118" s="2"/>
      <c r="X118" s="2">
        <f t="shared" si="28"/>
        <v>0</v>
      </c>
      <c r="Y118" s="2"/>
      <c r="Z118" s="19">
        <f t="shared" si="29"/>
        <v>0</v>
      </c>
    </row>
    <row r="119" spans="1:26" s="24" customFormat="1" hidden="1" outlineLevel="1" x14ac:dyDescent="0.25">
      <c r="A119" s="44"/>
      <c r="B119" s="11" t="str">
        <f>CONCATENATE("          ", "5545", " - ", "FREIGHT-IN-SPECIAL ORDERS")</f>
        <v xml:space="preserve">          5545 - FREIGHT-IN-SPECIAL ORDERS</v>
      </c>
      <c r="C119" s="11"/>
      <c r="D119" s="2"/>
      <c r="E119" s="2"/>
      <c r="F119" s="19">
        <f t="shared" si="22"/>
        <v>0</v>
      </c>
      <c r="G119" s="2"/>
      <c r="H119" s="2">
        <v>189.66</v>
      </c>
      <c r="I119" s="2"/>
      <c r="J119" s="19">
        <f t="shared" si="23"/>
        <v>1.1845677910858616E-3</v>
      </c>
      <c r="K119" s="2"/>
      <c r="L119" s="2">
        <f t="shared" si="24"/>
        <v>-189.66</v>
      </c>
      <c r="M119" s="2"/>
      <c r="N119" s="19">
        <f t="shared" si="25"/>
        <v>-1</v>
      </c>
      <c r="O119" s="11"/>
      <c r="P119" s="2">
        <v>0</v>
      </c>
      <c r="Q119" s="2"/>
      <c r="R119" s="19">
        <f t="shared" si="26"/>
        <v>0</v>
      </c>
      <c r="S119" s="2"/>
      <c r="T119" s="2">
        <v>850.27</v>
      </c>
      <c r="U119" s="2"/>
      <c r="V119" s="19">
        <f t="shared" si="27"/>
        <v>3.6080420089524607E-4</v>
      </c>
      <c r="W119" s="2"/>
      <c r="X119" s="2">
        <f t="shared" si="28"/>
        <v>-850.27</v>
      </c>
      <c r="Y119" s="2"/>
      <c r="Z119" s="19">
        <f t="shared" si="29"/>
        <v>-1</v>
      </c>
    </row>
    <row r="120" spans="1:26" s="24" customFormat="1" hidden="1" outlineLevel="1" x14ac:dyDescent="0.25">
      <c r="A120" s="44"/>
      <c r="B120" s="11" t="str">
        <f>CONCATENATE("          ", "5592", " - ", "FREIGHT-IN-GRAD MERCH")</f>
        <v xml:space="preserve">          5592 - FREIGHT-IN-GRAD MERCH</v>
      </c>
      <c r="C120" s="11"/>
      <c r="D120" s="2"/>
      <c r="E120" s="2"/>
      <c r="F120" s="19">
        <f t="shared" si="22"/>
        <v>0</v>
      </c>
      <c r="G120" s="2"/>
      <c r="H120" s="2"/>
      <c r="I120" s="2"/>
      <c r="J120" s="19">
        <f t="shared" si="23"/>
        <v>0</v>
      </c>
      <c r="K120" s="2"/>
      <c r="L120" s="2">
        <f t="shared" si="24"/>
        <v>0</v>
      </c>
      <c r="M120" s="2"/>
      <c r="N120" s="19">
        <f t="shared" si="25"/>
        <v>0</v>
      </c>
      <c r="O120" s="11"/>
      <c r="P120" s="2"/>
      <c r="Q120" s="2"/>
      <c r="R120" s="19">
        <f t="shared" si="26"/>
        <v>0</v>
      </c>
      <c r="S120" s="2"/>
      <c r="T120" s="2">
        <v>0</v>
      </c>
      <c r="U120" s="2"/>
      <c r="V120" s="19">
        <f t="shared" si="27"/>
        <v>0</v>
      </c>
      <c r="W120" s="2"/>
      <c r="X120" s="2">
        <f t="shared" si="28"/>
        <v>0</v>
      </c>
      <c r="Y120" s="2"/>
      <c r="Z120" s="19">
        <f t="shared" si="29"/>
        <v>0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6" t="s">
        <v>107</v>
      </c>
      <c r="C122" s="26"/>
      <c r="D122" s="22">
        <f>D12-D81</f>
        <v>253427.05</v>
      </c>
      <c r="E122" s="13"/>
      <c r="F122" s="20">
        <f>IF(D$12=0,0,D122/D$12)</f>
        <v>0.43978373001993692</v>
      </c>
      <c r="G122" s="13"/>
      <c r="H122" s="22">
        <f>H12-H81</f>
        <v>62579.700000000084</v>
      </c>
      <c r="I122" s="13"/>
      <c r="J122" s="20">
        <f>IF(H$12=0,0,H122/H$12)</f>
        <v>0.39085678053261624</v>
      </c>
      <c r="K122" s="15"/>
      <c r="L122" s="22">
        <f>+D122-H122</f>
        <v>190847.34999999992</v>
      </c>
      <c r="M122" s="15"/>
      <c r="N122" s="20">
        <f>IF(H122=0,0,L122/H122)</f>
        <v>3.049668662521547</v>
      </c>
      <c r="O122" s="25"/>
      <c r="P122" s="22">
        <f>P12-P81</f>
        <v>1077660.4200000004</v>
      </c>
      <c r="Q122" s="13"/>
      <c r="R122" s="20">
        <f>IF(P$12=0,0,P122/P$12)</f>
        <v>0.36946957579714468</v>
      </c>
      <c r="S122" s="13"/>
      <c r="T122" s="22">
        <f>T12-T81</f>
        <v>807324.45999999973</v>
      </c>
      <c r="U122" s="13"/>
      <c r="V122" s="20">
        <f>IF(T$12=0,0,T122/T$12)</f>
        <v>0.3425806586772272</v>
      </c>
      <c r="W122" s="15"/>
      <c r="X122" s="22">
        <f>+P122-T122</f>
        <v>270335.96000000066</v>
      </c>
      <c r="Y122" s="15"/>
      <c r="Z122" s="20">
        <f>IF(T122=0,0,X122/T122)</f>
        <v>0.33485416755488956</v>
      </c>
    </row>
    <row r="123" spans="1:26" x14ac:dyDescent="0.25">
      <c r="A123" s="9"/>
      <c r="B123" s="10"/>
      <c r="C123" s="9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x14ac:dyDescent="0.25">
      <c r="A124" s="10"/>
      <c r="B124" s="25" t="s">
        <v>294</v>
      </c>
      <c r="C124" s="10"/>
      <c r="D124" s="21">
        <f>SUM(OSRRefD22x_0)</f>
        <v>351602.15</v>
      </c>
      <c r="E124" s="21"/>
      <c r="F124" s="36">
        <f t="shared" ref="F124:F135" si="30">IF(D$12=0,0,D124/D$12)</f>
        <v>0.61015154069003041</v>
      </c>
      <c r="G124" s="21"/>
      <c r="H124" s="21">
        <f>SUM(OSRRefH22x_0)</f>
        <v>349347.2300000001</v>
      </c>
      <c r="I124" s="21"/>
      <c r="J124" s="36">
        <f t="shared" ref="J124:J135" si="31">IF(H$12=0,0,H124/H$12)</f>
        <v>2.1819333363021438</v>
      </c>
      <c r="K124" s="4"/>
      <c r="L124" s="21">
        <f t="shared" ref="L124:L135" si="32">+D124-H124</f>
        <v>2254.9199999999255</v>
      </c>
      <c r="M124" s="4"/>
      <c r="N124" s="36">
        <f t="shared" ref="N124:N135" si="33">IF(H124=0,0,L124/H124)</f>
        <v>6.4546668940238198E-3</v>
      </c>
      <c r="O124" s="10"/>
      <c r="P124" s="21">
        <f>SUM(OSRRefP22x_0)</f>
        <v>1405339.8799999994</v>
      </c>
      <c r="Q124" s="21"/>
      <c r="R124" s="36">
        <f t="shared" ref="R124:R135" si="34">IF(P$12=0,0,P124/P$12)</f>
        <v>0.48181256328817362</v>
      </c>
      <c r="S124" s="21"/>
      <c r="T124" s="21">
        <f>SUM(OSRRefT22x_0)</f>
        <v>1249076.1099999999</v>
      </c>
      <c r="U124" s="21"/>
      <c r="V124" s="36">
        <f t="shared" ref="V124:V135" si="35">IF(T$12=0,0,T124/T$12)</f>
        <v>0.53003388068012802</v>
      </c>
      <c r="W124" s="4"/>
      <c r="X124" s="21">
        <f t="shared" ref="X124:X135" si="36">+P124-T124</f>
        <v>156263.76999999955</v>
      </c>
      <c r="Y124" s="4"/>
      <c r="Z124" s="36">
        <f t="shared" ref="Z124:Z135" si="37">IF(T124=0,0,X124/T124)</f>
        <v>0.12510348148440656</v>
      </c>
    </row>
    <row r="125" spans="1:26" s="28" customFormat="1" outlineLevel="1" collapsed="1" x14ac:dyDescent="0.25">
      <c r="A125" s="27"/>
      <c r="B125" s="14" t="str">
        <f>CONCATENATE("     ","*Benefits                                         ")</f>
        <v xml:space="preserve">     *Benefits                                         </v>
      </c>
      <c r="C125" s="14"/>
      <c r="D125" s="1">
        <f>SUM(OSRRefD22_0x_0)</f>
        <v>60766.619999999988</v>
      </c>
      <c r="E125" s="1"/>
      <c r="F125" s="5">
        <f t="shared" si="30"/>
        <v>0.10545113792826809</v>
      </c>
      <c r="G125" s="1"/>
      <c r="H125" s="1">
        <f>SUM(OSRRefH22_0x_0)</f>
        <v>54321.38</v>
      </c>
      <c r="I125" s="1"/>
      <c r="J125" s="5">
        <f t="shared" si="31"/>
        <v>0.33927742863722293</v>
      </c>
      <c r="K125" s="1"/>
      <c r="L125" s="1">
        <f t="shared" si="32"/>
        <v>6445.2399999999907</v>
      </c>
      <c r="M125" s="1"/>
      <c r="N125" s="5">
        <f t="shared" si="33"/>
        <v>0.11865015211321935</v>
      </c>
      <c r="O125" s="14"/>
      <c r="P125" s="1">
        <f>SUM(OSRRefP22_0x_0)</f>
        <v>206923.77</v>
      </c>
      <c r="Q125" s="1"/>
      <c r="R125" s="5">
        <f t="shared" si="34"/>
        <v>7.0942605022318528E-2</v>
      </c>
      <c r="S125" s="1"/>
      <c r="T125" s="1">
        <f>SUM(OSRRefT22_0x_0)</f>
        <v>208275.5</v>
      </c>
      <c r="U125" s="1"/>
      <c r="V125" s="5">
        <f t="shared" si="35"/>
        <v>8.8379779768259295E-2</v>
      </c>
      <c r="W125" s="1"/>
      <c r="X125" s="1">
        <f t="shared" si="36"/>
        <v>-1351.7300000000105</v>
      </c>
      <c r="Y125" s="1"/>
      <c r="Z125" s="5">
        <f t="shared" si="37"/>
        <v>-6.4901056533294144E-3</v>
      </c>
    </row>
    <row r="126" spans="1:26" s="24" customFormat="1" hidden="1" outlineLevel="2" x14ac:dyDescent="0.25">
      <c r="A126" s="29"/>
      <c r="B126" s="11" t="str">
        <f>CONCATENATE("          ", "6111", " - ", "F.I.C.A.")</f>
        <v xml:space="preserve">          6111 - F.I.C.A.</v>
      </c>
      <c r="C126" s="11"/>
      <c r="D126" s="6">
        <v>11022.23</v>
      </c>
      <c r="E126" s="2"/>
      <c r="F126" s="7">
        <f t="shared" si="30"/>
        <v>1.9127387634972862E-2</v>
      </c>
      <c r="G126" s="2"/>
      <c r="H126" s="6">
        <v>13323.07</v>
      </c>
      <c r="I126" s="2"/>
      <c r="J126" s="7">
        <f t="shared" si="31"/>
        <v>8.3212483393347636E-2</v>
      </c>
      <c r="K126" s="2"/>
      <c r="L126" s="6">
        <f t="shared" si="32"/>
        <v>-2300.84</v>
      </c>
      <c r="M126" s="2"/>
      <c r="N126" s="7">
        <f t="shared" si="33"/>
        <v>-0.17269593269419137</v>
      </c>
      <c r="O126" s="11"/>
      <c r="P126" s="6">
        <v>40901.43</v>
      </c>
      <c r="Q126" s="2"/>
      <c r="R126" s="7">
        <f t="shared" si="34"/>
        <v>1.4022816196215688E-2</v>
      </c>
      <c r="S126" s="2"/>
      <c r="T126" s="6">
        <v>45279.59</v>
      </c>
      <c r="U126" s="2"/>
      <c r="V126" s="7">
        <f t="shared" si="35"/>
        <v>1.9213974721928768E-2</v>
      </c>
      <c r="W126" s="2"/>
      <c r="X126" s="6">
        <f t="shared" si="36"/>
        <v>-4378.1599999999962</v>
      </c>
      <c r="Y126" s="2"/>
      <c r="Z126" s="7">
        <f t="shared" si="37"/>
        <v>-9.6691688241876669E-2</v>
      </c>
    </row>
    <row r="127" spans="1:26" s="24" customFormat="1" hidden="1" outlineLevel="2" x14ac:dyDescent="0.25">
      <c r="A127" s="29"/>
      <c r="B127" s="11" t="str">
        <f>CONCATENATE("          ", "6112", " - ", "COMPENSATION INSURANCE")</f>
        <v xml:space="preserve">          6112 - COMPENSATION INSURANCE</v>
      </c>
      <c r="C127" s="11"/>
      <c r="D127" s="6">
        <v>3415.54</v>
      </c>
      <c r="E127" s="2"/>
      <c r="F127" s="7">
        <f t="shared" si="30"/>
        <v>5.9271451931918687E-3</v>
      </c>
      <c r="G127" s="2"/>
      <c r="H127" s="6">
        <v>1907.43</v>
      </c>
      <c r="I127" s="2"/>
      <c r="J127" s="7">
        <f t="shared" si="31"/>
        <v>1.1913319317467601E-2</v>
      </c>
      <c r="K127" s="2"/>
      <c r="L127" s="6">
        <f t="shared" si="32"/>
        <v>1508.11</v>
      </c>
      <c r="M127" s="2"/>
      <c r="N127" s="7">
        <f t="shared" si="33"/>
        <v>0.79065024666698114</v>
      </c>
      <c r="O127" s="11"/>
      <c r="P127" s="6">
        <v>10529.87</v>
      </c>
      <c r="Q127" s="2"/>
      <c r="R127" s="7">
        <f t="shared" si="34"/>
        <v>3.6101043797257381E-3</v>
      </c>
      <c r="S127" s="2"/>
      <c r="T127" s="6">
        <v>10618.58</v>
      </c>
      <c r="U127" s="2"/>
      <c r="V127" s="7">
        <f t="shared" si="35"/>
        <v>4.5058960936434807E-3</v>
      </c>
      <c r="W127" s="2"/>
      <c r="X127" s="6">
        <f t="shared" si="36"/>
        <v>-88.709999999999127</v>
      </c>
      <c r="Y127" s="2"/>
      <c r="Z127" s="7">
        <f t="shared" si="37"/>
        <v>-8.3542243878182518E-3</v>
      </c>
    </row>
    <row r="128" spans="1:26" s="24" customFormat="1" hidden="1" outlineLevel="2" x14ac:dyDescent="0.25">
      <c r="A128" s="29"/>
      <c r="B128" s="11" t="str">
        <f>CONCATENATE("          ", "6113", " - ", "GROUP INSURANCE")</f>
        <v xml:space="preserve">          6113 - GROUP INSURANCE</v>
      </c>
      <c r="C128" s="11"/>
      <c r="D128" s="6">
        <v>18566.900000000001</v>
      </c>
      <c r="E128" s="2"/>
      <c r="F128" s="7">
        <f t="shared" si="30"/>
        <v>3.2220003890299664E-2</v>
      </c>
      <c r="G128" s="2"/>
      <c r="H128" s="6">
        <v>17506.16</v>
      </c>
      <c r="I128" s="2"/>
      <c r="J128" s="7">
        <f t="shared" si="31"/>
        <v>0.10933899231042744</v>
      </c>
      <c r="K128" s="2"/>
      <c r="L128" s="6">
        <f t="shared" si="32"/>
        <v>1060.7400000000016</v>
      </c>
      <c r="M128" s="2"/>
      <c r="N128" s="7">
        <f t="shared" si="33"/>
        <v>6.0592385765924774E-2</v>
      </c>
      <c r="O128" s="11"/>
      <c r="P128" s="6">
        <v>72281.11</v>
      </c>
      <c r="Q128" s="2"/>
      <c r="R128" s="7">
        <f t="shared" si="34"/>
        <v>2.4781156061987265E-2</v>
      </c>
      <c r="S128" s="2"/>
      <c r="T128" s="6">
        <v>71321.600000000006</v>
      </c>
      <c r="U128" s="2"/>
      <c r="V128" s="7">
        <f t="shared" si="35"/>
        <v>3.0264660513213904E-2</v>
      </c>
      <c r="W128" s="2"/>
      <c r="X128" s="6">
        <f t="shared" si="36"/>
        <v>959.50999999999476</v>
      </c>
      <c r="Y128" s="2"/>
      <c r="Z128" s="7">
        <f t="shared" si="37"/>
        <v>1.3453287643574943E-2</v>
      </c>
    </row>
    <row r="129" spans="1:26" s="24" customFormat="1" hidden="1" outlineLevel="2" x14ac:dyDescent="0.25">
      <c r="A129" s="29"/>
      <c r="B129" s="11" t="str">
        <f>CONCATENATE("          ", "6114", " - ", "STATE UNEMPLOYMENT INSURANCE")</f>
        <v xml:space="preserve">          6114 - STATE UNEMPLOYMENT INSURANCE</v>
      </c>
      <c r="C129" s="11"/>
      <c r="D129" s="6">
        <v>614.05999999999995</v>
      </c>
      <c r="E129" s="2"/>
      <c r="F129" s="7">
        <f t="shared" si="30"/>
        <v>1.0656068373760513E-3</v>
      </c>
      <c r="G129" s="2"/>
      <c r="H129" s="6">
        <v>325.23</v>
      </c>
      <c r="I129" s="2"/>
      <c r="J129" s="7">
        <f t="shared" si="31"/>
        <v>2.031303293761757E-3</v>
      </c>
      <c r="K129" s="2"/>
      <c r="L129" s="6">
        <f t="shared" si="32"/>
        <v>288.82999999999993</v>
      </c>
      <c r="M129" s="2"/>
      <c r="N129" s="7">
        <f t="shared" si="33"/>
        <v>0.88807920548534858</v>
      </c>
      <c r="O129" s="11"/>
      <c r="P129" s="6">
        <v>1900.03</v>
      </c>
      <c r="Q129" s="2"/>
      <c r="R129" s="7">
        <f t="shared" si="34"/>
        <v>6.5141417934032363E-4</v>
      </c>
      <c r="S129" s="2"/>
      <c r="T129" s="6">
        <v>1530.89</v>
      </c>
      <c r="U129" s="2"/>
      <c r="V129" s="7">
        <f t="shared" si="35"/>
        <v>6.4961899527035336E-4</v>
      </c>
      <c r="W129" s="2"/>
      <c r="X129" s="6">
        <f t="shared" si="36"/>
        <v>369.13999999999987</v>
      </c>
      <c r="Y129" s="2"/>
      <c r="Z129" s="7">
        <f t="shared" si="37"/>
        <v>0.24112771002488739</v>
      </c>
    </row>
    <row r="130" spans="1:26" s="24" customFormat="1" hidden="1" outlineLevel="2" x14ac:dyDescent="0.25">
      <c r="A130" s="29"/>
      <c r="B130" s="11" t="str">
        <f>CONCATENATE("          ", "6115", " - ", "P.E.R.S.")</f>
        <v xml:space="preserve">          6115 - P.E.R.S.</v>
      </c>
      <c r="C130" s="11"/>
      <c r="D130" s="6">
        <v>9444.34</v>
      </c>
      <c r="E130" s="2"/>
      <c r="F130" s="7">
        <f t="shared" si="30"/>
        <v>1.6389201834518023E-2</v>
      </c>
      <c r="G130" s="2"/>
      <c r="H130" s="6">
        <v>5500.01</v>
      </c>
      <c r="I130" s="2"/>
      <c r="J130" s="7">
        <f t="shared" si="31"/>
        <v>3.4351653994780927E-2</v>
      </c>
      <c r="K130" s="2"/>
      <c r="L130" s="6">
        <f t="shared" si="32"/>
        <v>3944.33</v>
      </c>
      <c r="M130" s="2"/>
      <c r="N130" s="7">
        <f t="shared" si="33"/>
        <v>0.71714960518253601</v>
      </c>
      <c r="O130" s="11"/>
      <c r="P130" s="6">
        <v>28333.03</v>
      </c>
      <c r="Q130" s="2"/>
      <c r="R130" s="7">
        <f t="shared" si="34"/>
        <v>9.7138137217174306E-3</v>
      </c>
      <c r="S130" s="2"/>
      <c r="T130" s="6">
        <v>29478.13</v>
      </c>
      <c r="U130" s="2"/>
      <c r="V130" s="7">
        <f t="shared" si="35"/>
        <v>1.2508771494391406E-2</v>
      </c>
      <c r="W130" s="2"/>
      <c r="X130" s="6">
        <f t="shared" si="36"/>
        <v>-1145.1000000000022</v>
      </c>
      <c r="Y130" s="2"/>
      <c r="Z130" s="7">
        <f t="shared" si="37"/>
        <v>-3.8845747678024428E-2</v>
      </c>
    </row>
    <row r="131" spans="1:26" s="24" customFormat="1" hidden="1" outlineLevel="2" x14ac:dyDescent="0.25">
      <c r="A131" s="29"/>
      <c r="B131" s="11" t="str">
        <f>CONCATENATE("          ", "6116", " - ", "EDUCATIONAL BENEFITS")</f>
        <v xml:space="preserve">          6116 - EDUCATIONAL BENEFITS</v>
      </c>
      <c r="C131" s="11"/>
      <c r="D131" s="6"/>
      <c r="E131" s="2"/>
      <c r="F131" s="7">
        <f t="shared" si="30"/>
        <v>0</v>
      </c>
      <c r="G131" s="2"/>
      <c r="H131" s="6"/>
      <c r="I131" s="2"/>
      <c r="J131" s="7">
        <f t="shared" si="31"/>
        <v>0</v>
      </c>
      <c r="K131" s="2"/>
      <c r="L131" s="6">
        <f t="shared" si="32"/>
        <v>0</v>
      </c>
      <c r="M131" s="2"/>
      <c r="N131" s="7">
        <f t="shared" si="33"/>
        <v>0</v>
      </c>
      <c r="O131" s="11"/>
      <c r="P131" s="6"/>
      <c r="Q131" s="2"/>
      <c r="R131" s="7">
        <f t="shared" si="34"/>
        <v>0</v>
      </c>
      <c r="S131" s="2"/>
      <c r="T131" s="6">
        <v>0</v>
      </c>
      <c r="U131" s="2"/>
      <c r="V131" s="7">
        <f t="shared" si="35"/>
        <v>0</v>
      </c>
      <c r="W131" s="2"/>
      <c r="X131" s="6">
        <f t="shared" si="36"/>
        <v>0</v>
      </c>
      <c r="Y131" s="2"/>
      <c r="Z131" s="7">
        <f t="shared" si="37"/>
        <v>0</v>
      </c>
    </row>
    <row r="132" spans="1:26" s="24" customFormat="1" hidden="1" outlineLevel="2" x14ac:dyDescent="0.25">
      <c r="A132" s="29"/>
      <c r="B132" s="11" t="str">
        <f>CONCATENATE("          ", "6117", " - ", "RETIREMENT STAFF HOURLY")</f>
        <v xml:space="preserve">          6117 - RETIREMENT STAFF HOURLY</v>
      </c>
      <c r="C132" s="11"/>
      <c r="D132" s="6">
        <v>576.07000000000005</v>
      </c>
      <c r="E132" s="2"/>
      <c r="F132" s="7">
        <f t="shared" si="30"/>
        <v>9.9968102597013651E-4</v>
      </c>
      <c r="G132" s="2"/>
      <c r="H132" s="6">
        <v>222.97</v>
      </c>
      <c r="I132" s="2"/>
      <c r="J132" s="7">
        <f t="shared" si="31"/>
        <v>1.3926135209238351E-3</v>
      </c>
      <c r="K132" s="2"/>
      <c r="L132" s="6">
        <f t="shared" si="32"/>
        <v>353.1</v>
      </c>
      <c r="M132" s="2"/>
      <c r="N132" s="7">
        <f t="shared" si="33"/>
        <v>1.5836211149481993</v>
      </c>
      <c r="O132" s="11"/>
      <c r="P132" s="6">
        <v>2515.7199999999998</v>
      </c>
      <c r="Q132" s="2"/>
      <c r="R132" s="7">
        <f t="shared" si="34"/>
        <v>8.6249989697533144E-4</v>
      </c>
      <c r="S132" s="2"/>
      <c r="T132" s="6">
        <v>1060.74</v>
      </c>
      <c r="U132" s="2"/>
      <c r="V132" s="7">
        <f t="shared" si="35"/>
        <v>4.5011519641716553E-4</v>
      </c>
      <c r="W132" s="2"/>
      <c r="X132" s="6">
        <f t="shared" si="36"/>
        <v>1454.9799999999998</v>
      </c>
      <c r="Y132" s="2"/>
      <c r="Z132" s="7">
        <f t="shared" si="37"/>
        <v>1.3716650640119159</v>
      </c>
    </row>
    <row r="133" spans="1:26" s="24" customFormat="1" hidden="1" outlineLevel="2" x14ac:dyDescent="0.25">
      <c r="A133" s="29"/>
      <c r="B133" s="11" t="str">
        <f>CONCATENATE("          ", "6118", " - ", "VACATION")</f>
        <v xml:space="preserve">          6118 - VACATION</v>
      </c>
      <c r="C133" s="11"/>
      <c r="D133" s="6">
        <v>7622.27</v>
      </c>
      <c r="E133" s="2"/>
      <c r="F133" s="7">
        <f t="shared" si="30"/>
        <v>1.3227279139377841E-2</v>
      </c>
      <c r="G133" s="2"/>
      <c r="H133" s="6">
        <v>7814.31</v>
      </c>
      <c r="I133" s="2"/>
      <c r="J133" s="7">
        <f t="shared" si="31"/>
        <v>4.8806179139302755E-2</v>
      </c>
      <c r="K133" s="2"/>
      <c r="L133" s="6">
        <f t="shared" si="32"/>
        <v>-192.03999999999996</v>
      </c>
      <c r="M133" s="2"/>
      <c r="N133" s="7">
        <f t="shared" si="33"/>
        <v>-2.4575426365219699E-2</v>
      </c>
      <c r="O133" s="11"/>
      <c r="P133" s="6">
        <v>23247.599999999999</v>
      </c>
      <c r="Q133" s="2"/>
      <c r="R133" s="7">
        <f t="shared" si="34"/>
        <v>7.9703037718520803E-3</v>
      </c>
      <c r="S133" s="2"/>
      <c r="T133" s="6">
        <v>24336.32</v>
      </c>
      <c r="U133" s="2"/>
      <c r="V133" s="7">
        <f t="shared" si="35"/>
        <v>1.0326892034684272E-2</v>
      </c>
      <c r="W133" s="2"/>
      <c r="X133" s="6">
        <f t="shared" si="36"/>
        <v>-1088.7200000000012</v>
      </c>
      <c r="Y133" s="2"/>
      <c r="Z133" s="7">
        <f t="shared" si="37"/>
        <v>-4.4736426871441581E-2</v>
      </c>
    </row>
    <row r="134" spans="1:26" s="24" customFormat="1" hidden="1" outlineLevel="2" x14ac:dyDescent="0.25">
      <c r="A134" s="29"/>
      <c r="B134" s="11" t="str">
        <f>CONCATENATE("          ", "6119", " - ", "SICK LEAVE")</f>
        <v xml:space="preserve">          6119 - SICK LEAVE</v>
      </c>
      <c r="C134" s="11"/>
      <c r="D134" s="6">
        <v>5499.11</v>
      </c>
      <c r="E134" s="2"/>
      <c r="F134" s="7">
        <f t="shared" si="30"/>
        <v>9.5428609834267309E-3</v>
      </c>
      <c r="G134" s="2"/>
      <c r="H134" s="6">
        <v>5813.96</v>
      </c>
      <c r="I134" s="2"/>
      <c r="J134" s="7">
        <f t="shared" si="31"/>
        <v>3.6312505297171553E-2</v>
      </c>
      <c r="K134" s="2"/>
      <c r="L134" s="6">
        <f t="shared" si="32"/>
        <v>-314.85000000000036</v>
      </c>
      <c r="M134" s="2"/>
      <c r="N134" s="7">
        <f t="shared" si="33"/>
        <v>-5.4154139347363996E-2</v>
      </c>
      <c r="O134" s="11"/>
      <c r="P134" s="6">
        <v>17169.580000000002</v>
      </c>
      <c r="Q134" s="2"/>
      <c r="R134" s="7">
        <f t="shared" si="34"/>
        <v>5.886490142428296E-3</v>
      </c>
      <c r="S134" s="2"/>
      <c r="T134" s="6">
        <v>17842.32</v>
      </c>
      <c r="U134" s="2"/>
      <c r="V134" s="7">
        <f t="shared" si="35"/>
        <v>7.5712232699228091E-3</v>
      </c>
      <c r="W134" s="2"/>
      <c r="X134" s="6">
        <f t="shared" si="36"/>
        <v>-672.73999999999796</v>
      </c>
      <c r="Y134" s="2"/>
      <c r="Z134" s="7">
        <f t="shared" si="37"/>
        <v>-3.7704737948876493E-2</v>
      </c>
    </row>
    <row r="135" spans="1:26" s="24" customFormat="1" hidden="1" outlineLevel="2" x14ac:dyDescent="0.25">
      <c r="A135" s="29"/>
      <c r="B135" s="11" t="str">
        <f>CONCATENATE("          ", "6156", " - ", "EMPLOYEE MEALS")</f>
        <v xml:space="preserve">          6156 - EMPLOYEE MEALS</v>
      </c>
      <c r="C135" s="11"/>
      <c r="D135" s="6">
        <v>4006.1</v>
      </c>
      <c r="E135" s="2"/>
      <c r="F135" s="7">
        <f t="shared" si="30"/>
        <v>6.9519713891349373E-3</v>
      </c>
      <c r="G135" s="2"/>
      <c r="H135" s="6">
        <v>1908.24</v>
      </c>
      <c r="I135" s="2"/>
      <c r="J135" s="7">
        <f t="shared" si="31"/>
        <v>1.1918378370039465E-2</v>
      </c>
      <c r="K135" s="2"/>
      <c r="L135" s="6">
        <f t="shared" si="32"/>
        <v>2097.8599999999997</v>
      </c>
      <c r="M135" s="2"/>
      <c r="N135" s="7">
        <f t="shared" si="33"/>
        <v>1.0993690521108455</v>
      </c>
      <c r="O135" s="11"/>
      <c r="P135" s="6">
        <v>10045.4</v>
      </c>
      <c r="Q135" s="2"/>
      <c r="R135" s="7">
        <f t="shared" si="34"/>
        <v>3.4440066720763814E-3</v>
      </c>
      <c r="S135" s="2"/>
      <c r="T135" s="6">
        <v>6807.33</v>
      </c>
      <c r="U135" s="2"/>
      <c r="V135" s="7">
        <f t="shared" si="35"/>
        <v>2.8886274487871328E-3</v>
      </c>
      <c r="W135" s="2"/>
      <c r="X135" s="6">
        <f t="shared" si="36"/>
        <v>3238.0699999999997</v>
      </c>
      <c r="Y135" s="2"/>
      <c r="Z135" s="7">
        <f t="shared" si="37"/>
        <v>0.47567401609735382</v>
      </c>
    </row>
    <row r="136" spans="1:26" s="28" customFormat="1" outlineLevel="1" collapsed="1" x14ac:dyDescent="0.25">
      <c r="A136" s="27"/>
      <c r="B136" s="14" t="str">
        <f>CONCATENATE("     ","*Payroll                                          ")</f>
        <v xml:space="preserve">     *Payroll                                          </v>
      </c>
      <c r="C136" s="14"/>
      <c r="D136" s="1">
        <f>SUM(OSRRefD22_1x_0)</f>
        <v>178317.63000000003</v>
      </c>
      <c r="E136" s="1"/>
      <c r="F136" s="5">
        <f t="shared" ref="F136:F143" si="38">IF(D$12=0,0,D136/D$12)</f>
        <v>0.30944286511528668</v>
      </c>
      <c r="G136" s="1"/>
      <c r="H136" s="1">
        <f>SUM(OSRRefH22_1x_0)</f>
        <v>122794.74999999999</v>
      </c>
      <c r="I136" s="1"/>
      <c r="J136" s="5">
        <f t="shared" ref="J136:J143" si="39">IF(H$12=0,0,H136/H$12)</f>
        <v>0.76694456271454503</v>
      </c>
      <c r="K136" s="1"/>
      <c r="L136" s="1">
        <f t="shared" ref="L136:L143" si="40">+D136-H136</f>
        <v>55522.880000000048</v>
      </c>
      <c r="M136" s="1"/>
      <c r="N136" s="5">
        <f t="shared" ref="N136:N143" si="41">IF(H136=0,0,L136/H136)</f>
        <v>0.45216004755903699</v>
      </c>
      <c r="O136" s="14"/>
      <c r="P136" s="1">
        <f>SUM(OSRRefP22_1x_0)</f>
        <v>697912.21</v>
      </c>
      <c r="Q136" s="1"/>
      <c r="R136" s="5">
        <f t="shared" ref="R136:R143" si="42">IF(P$12=0,0,P136/P$12)</f>
        <v>0.23927512172373153</v>
      </c>
      <c r="S136" s="1"/>
      <c r="T136" s="1">
        <f>SUM(OSRRefT22_1x_0)</f>
        <v>555995.80999999994</v>
      </c>
      <c r="U136" s="1"/>
      <c r="V136" s="5">
        <f t="shared" ref="V136:V143" si="43">IF(T$12=0,0,T136/T$12)</f>
        <v>0.23593167338393106</v>
      </c>
      <c r="W136" s="1"/>
      <c r="X136" s="1">
        <f t="shared" ref="X136:X143" si="44">+P136-T136</f>
        <v>141916.40000000002</v>
      </c>
      <c r="Y136" s="1"/>
      <c r="Z136" s="5">
        <f t="shared" ref="Z136:Z143" si="45">IF(T136=0,0,X136/T136)</f>
        <v>0.2552472472769175</v>
      </c>
    </row>
    <row r="137" spans="1:26" s="24" customFormat="1" hidden="1" outlineLevel="2" x14ac:dyDescent="0.25">
      <c r="A137" s="29"/>
      <c r="B137" s="11" t="str">
        <f>CONCATENATE("          ", "6001", " - ", "ADMINISTRATIVE SALARIES")</f>
        <v xml:space="preserve">          6001 - ADMINISTRATIVE SALARIES</v>
      </c>
      <c r="C137" s="11"/>
      <c r="D137" s="6">
        <v>4926.78</v>
      </c>
      <c r="E137" s="2"/>
      <c r="F137" s="7">
        <f t="shared" si="38"/>
        <v>8.5496701531569928E-3</v>
      </c>
      <c r="G137" s="2"/>
      <c r="H137" s="6">
        <v>4205.17</v>
      </c>
      <c r="I137" s="2"/>
      <c r="J137" s="7">
        <f t="shared" si="39"/>
        <v>2.626441494274245E-2</v>
      </c>
      <c r="K137" s="2"/>
      <c r="L137" s="6">
        <f t="shared" si="40"/>
        <v>721.60999999999967</v>
      </c>
      <c r="M137" s="2"/>
      <c r="N137" s="7">
        <f t="shared" si="41"/>
        <v>0.171600672505511</v>
      </c>
      <c r="O137" s="11"/>
      <c r="P137" s="6">
        <v>19484.080000000002</v>
      </c>
      <c r="Q137" s="2"/>
      <c r="R137" s="7">
        <f t="shared" si="42"/>
        <v>6.6800029385858193E-3</v>
      </c>
      <c r="S137" s="2"/>
      <c r="T137" s="6">
        <v>17142.5</v>
      </c>
      <c r="U137" s="2"/>
      <c r="V137" s="7">
        <f t="shared" si="43"/>
        <v>7.2742611333420628E-3</v>
      </c>
      <c r="W137" s="2"/>
      <c r="X137" s="6">
        <f t="shared" si="44"/>
        <v>2341.5800000000017</v>
      </c>
      <c r="Y137" s="2"/>
      <c r="Z137" s="7">
        <f t="shared" si="45"/>
        <v>0.13659501239609168</v>
      </c>
    </row>
    <row r="138" spans="1:26" s="24" customFormat="1" hidden="1" outlineLevel="2" x14ac:dyDescent="0.25">
      <c r="A138" s="29"/>
      <c r="B138" s="11" t="str">
        <f>CONCATENATE("          ", "6002", " - ", "STAFF SALARIES")</f>
        <v xml:space="preserve">          6002 - STAFF SALARIES</v>
      </c>
      <c r="C138" s="11"/>
      <c r="D138" s="6">
        <v>62962.98</v>
      </c>
      <c r="E138" s="2"/>
      <c r="F138" s="7">
        <f t="shared" si="38"/>
        <v>0.10926258344391686</v>
      </c>
      <c r="G138" s="2"/>
      <c r="H138" s="6">
        <v>60359.32</v>
      </c>
      <c r="I138" s="2"/>
      <c r="J138" s="7">
        <f t="shared" si="39"/>
        <v>0.37698885565667339</v>
      </c>
      <c r="K138" s="2"/>
      <c r="L138" s="6">
        <f t="shared" si="40"/>
        <v>2603.6600000000035</v>
      </c>
      <c r="M138" s="2"/>
      <c r="N138" s="7">
        <f t="shared" si="41"/>
        <v>4.3136006171043732E-2</v>
      </c>
      <c r="O138" s="11"/>
      <c r="P138" s="6">
        <v>249566.05</v>
      </c>
      <c r="Q138" s="2"/>
      <c r="R138" s="7">
        <f t="shared" si="42"/>
        <v>8.5562261465322212E-2</v>
      </c>
      <c r="S138" s="2"/>
      <c r="T138" s="6">
        <v>262633.59000000003</v>
      </c>
      <c r="U138" s="2"/>
      <c r="V138" s="7">
        <f t="shared" si="43"/>
        <v>0.11144613189716172</v>
      </c>
      <c r="W138" s="2"/>
      <c r="X138" s="6">
        <f t="shared" si="44"/>
        <v>-13067.540000000037</v>
      </c>
      <c r="Y138" s="2"/>
      <c r="Z138" s="7">
        <f t="shared" si="45"/>
        <v>-4.9755783332969844E-2</v>
      </c>
    </row>
    <row r="139" spans="1:26" s="24" customFormat="1" hidden="1" outlineLevel="2" x14ac:dyDescent="0.25">
      <c r="A139" s="29"/>
      <c r="B139" s="11" t="str">
        <f>CONCATENATE("          ", "6004", " - ", "STAFF HOURLY")</f>
        <v xml:space="preserve">          6004 - STAFF HOURLY</v>
      </c>
      <c r="C139" s="11"/>
      <c r="D139" s="6">
        <v>30372.86</v>
      </c>
      <c r="E139" s="2"/>
      <c r="F139" s="7">
        <f t="shared" si="38"/>
        <v>5.2707434593794712E-2</v>
      </c>
      <c r="G139" s="2"/>
      <c r="H139" s="6">
        <v>18098.75</v>
      </c>
      <c r="I139" s="2"/>
      <c r="J139" s="7">
        <f t="shared" si="39"/>
        <v>0.11304015769753896</v>
      </c>
      <c r="K139" s="2"/>
      <c r="L139" s="6">
        <f t="shared" si="40"/>
        <v>12274.11</v>
      </c>
      <c r="M139" s="2"/>
      <c r="N139" s="7">
        <f t="shared" si="41"/>
        <v>0.67817445956212452</v>
      </c>
      <c r="O139" s="11"/>
      <c r="P139" s="6">
        <v>89984.75</v>
      </c>
      <c r="Q139" s="2"/>
      <c r="R139" s="7">
        <f t="shared" si="42"/>
        <v>3.0850745553698725E-2</v>
      </c>
      <c r="S139" s="2"/>
      <c r="T139" s="6">
        <v>63576.800000000003</v>
      </c>
      <c r="U139" s="2"/>
      <c r="V139" s="7">
        <f t="shared" si="43"/>
        <v>2.6978226351014246E-2</v>
      </c>
      <c r="W139" s="2"/>
      <c r="X139" s="6">
        <f t="shared" si="44"/>
        <v>26407.949999999997</v>
      </c>
      <c r="Y139" s="2"/>
      <c r="Z139" s="7">
        <f t="shared" si="45"/>
        <v>0.4153708585521762</v>
      </c>
    </row>
    <row r="140" spans="1:26" s="24" customFormat="1" hidden="1" outlineLevel="2" x14ac:dyDescent="0.25">
      <c r="A140" s="29"/>
      <c r="B140" s="11" t="str">
        <f>CONCATENATE("          ", "6005", " - ", "TEMPORARY WAGES-HOURLY")</f>
        <v xml:space="preserve">          6005 - TEMPORARY WAGES-HOURLY</v>
      </c>
      <c r="C140" s="11"/>
      <c r="D140" s="6">
        <v>16091.96</v>
      </c>
      <c r="E140" s="2"/>
      <c r="F140" s="7">
        <f t="shared" si="38"/>
        <v>2.7925125562293464E-2</v>
      </c>
      <c r="G140" s="2"/>
      <c r="H140" s="6">
        <v>19984.259999999998</v>
      </c>
      <c r="I140" s="2"/>
      <c r="J140" s="7">
        <f t="shared" si="39"/>
        <v>0.12481657030837046</v>
      </c>
      <c r="K140" s="2"/>
      <c r="L140" s="6">
        <f t="shared" si="40"/>
        <v>-3892.2999999999993</v>
      </c>
      <c r="M140" s="2"/>
      <c r="N140" s="7">
        <f t="shared" si="41"/>
        <v>-0.19476828263843643</v>
      </c>
      <c r="O140" s="11"/>
      <c r="P140" s="6">
        <v>47337.57</v>
      </c>
      <c r="Q140" s="2"/>
      <c r="R140" s="7">
        <f t="shared" si="42"/>
        <v>1.6229409174336788E-2</v>
      </c>
      <c r="S140" s="2"/>
      <c r="T140" s="6">
        <v>82500.86</v>
      </c>
      <c r="U140" s="2"/>
      <c r="V140" s="7">
        <f t="shared" si="43"/>
        <v>3.5008475972891639E-2</v>
      </c>
      <c r="W140" s="2"/>
      <c r="X140" s="6">
        <f t="shared" si="44"/>
        <v>-35163.29</v>
      </c>
      <c r="Y140" s="2"/>
      <c r="Z140" s="7">
        <f t="shared" si="45"/>
        <v>-0.42621725397771609</v>
      </c>
    </row>
    <row r="141" spans="1:26" s="24" customFormat="1" hidden="1" outlineLevel="2" x14ac:dyDescent="0.25">
      <c r="A141" s="29"/>
      <c r="B141" s="11" t="str">
        <f>CONCATENATE("          ", "6006", " - ", "TEMPORARY PART TIME")</f>
        <v xml:space="preserve">          6006 - TEMPORARY PART TIME</v>
      </c>
      <c r="C141" s="11"/>
      <c r="D141" s="6">
        <v>781.97</v>
      </c>
      <c r="E141" s="2"/>
      <c r="F141" s="7">
        <f t="shared" si="38"/>
        <v>1.3569888587808211E-3</v>
      </c>
      <c r="G141" s="2"/>
      <c r="H141" s="6">
        <v>1802.76</v>
      </c>
      <c r="I141" s="2"/>
      <c r="J141" s="7">
        <f t="shared" si="39"/>
        <v>1.1259577301792409E-2</v>
      </c>
      <c r="K141" s="2"/>
      <c r="L141" s="6">
        <f t="shared" si="40"/>
        <v>-1020.79</v>
      </c>
      <c r="M141" s="2"/>
      <c r="N141" s="7">
        <f t="shared" si="41"/>
        <v>-0.56623732499057</v>
      </c>
      <c r="O141" s="11"/>
      <c r="P141" s="6">
        <v>9877.6200000000008</v>
      </c>
      <c r="Q141" s="2"/>
      <c r="R141" s="7">
        <f t="shared" si="42"/>
        <v>3.3864842797932497E-3</v>
      </c>
      <c r="S141" s="2"/>
      <c r="T141" s="6">
        <v>7507.17</v>
      </c>
      <c r="U141" s="2"/>
      <c r="V141" s="7">
        <f t="shared" si="43"/>
        <v>3.1855980721826769E-3</v>
      </c>
      <c r="W141" s="2"/>
      <c r="X141" s="6">
        <f t="shared" si="44"/>
        <v>2370.4500000000007</v>
      </c>
      <c r="Y141" s="2"/>
      <c r="Z141" s="7">
        <f t="shared" si="45"/>
        <v>0.31575813522272717</v>
      </c>
    </row>
    <row r="142" spans="1:26" s="24" customFormat="1" hidden="1" outlineLevel="2" x14ac:dyDescent="0.25">
      <c r="A142" s="29"/>
      <c r="B142" s="11" t="str">
        <f>CONCATENATE("          ", "6007", " - ", "STUDENT HOURLY")</f>
        <v xml:space="preserve">          6007 - STUDENT HOURLY</v>
      </c>
      <c r="C142" s="11"/>
      <c r="D142" s="6">
        <v>53267.23</v>
      </c>
      <c r="E142" s="2"/>
      <c r="F142" s="7">
        <f t="shared" si="38"/>
        <v>9.2437098159923681E-2</v>
      </c>
      <c r="G142" s="2"/>
      <c r="H142" s="6">
        <v>16868.47</v>
      </c>
      <c r="I142" s="2"/>
      <c r="J142" s="7">
        <f t="shared" si="39"/>
        <v>0.10535614387270972</v>
      </c>
      <c r="K142" s="2"/>
      <c r="L142" s="6">
        <f t="shared" si="40"/>
        <v>36398.76</v>
      </c>
      <c r="M142" s="2"/>
      <c r="N142" s="7">
        <f t="shared" si="41"/>
        <v>2.1577985436734926</v>
      </c>
      <c r="O142" s="11"/>
      <c r="P142" s="6">
        <v>238018.4</v>
      </c>
      <c r="Q142" s="2"/>
      <c r="R142" s="7">
        <f t="shared" si="42"/>
        <v>8.1603217161780012E-2</v>
      </c>
      <c r="S142" s="2"/>
      <c r="T142" s="6">
        <v>119670.17</v>
      </c>
      <c r="U142" s="2"/>
      <c r="V142" s="7">
        <f t="shared" si="43"/>
        <v>5.0780928479010494E-2</v>
      </c>
      <c r="W142" s="2"/>
      <c r="X142" s="6">
        <f t="shared" si="44"/>
        <v>118348.23</v>
      </c>
      <c r="Y142" s="2"/>
      <c r="Z142" s="7">
        <f t="shared" si="45"/>
        <v>0.98895347102790943</v>
      </c>
    </row>
    <row r="143" spans="1:26" s="24" customFormat="1" hidden="1" outlineLevel="2" x14ac:dyDescent="0.25">
      <c r="A143" s="29"/>
      <c r="B143" s="11" t="str">
        <f>CONCATENATE("          ", "6008", " - ", "STUDENT HOURLY-FICA EXEMPT")</f>
        <v xml:space="preserve">          6008 - STUDENT HOURLY-FICA EXEMPT</v>
      </c>
      <c r="C143" s="11"/>
      <c r="D143" s="6">
        <v>9913.85</v>
      </c>
      <c r="E143" s="2"/>
      <c r="F143" s="7">
        <f t="shared" si="38"/>
        <v>1.7203964343420135E-2</v>
      </c>
      <c r="G143" s="2"/>
      <c r="H143" s="6">
        <v>1476.02</v>
      </c>
      <c r="I143" s="2"/>
      <c r="J143" s="7">
        <f t="shared" si="39"/>
        <v>9.218842934717671E-3</v>
      </c>
      <c r="K143" s="2"/>
      <c r="L143" s="6">
        <f t="shared" si="40"/>
        <v>8437.83</v>
      </c>
      <c r="M143" s="2"/>
      <c r="N143" s="7">
        <f t="shared" si="41"/>
        <v>5.7166095310361644</v>
      </c>
      <c r="O143" s="11"/>
      <c r="P143" s="6">
        <v>43643.74</v>
      </c>
      <c r="Q143" s="2"/>
      <c r="R143" s="7">
        <f t="shared" si="42"/>
        <v>1.4963001150214711E-2</v>
      </c>
      <c r="S143" s="2"/>
      <c r="T143" s="6">
        <v>2964.72</v>
      </c>
      <c r="U143" s="2"/>
      <c r="V143" s="7">
        <f t="shared" si="43"/>
        <v>1.2580514783282414E-3</v>
      </c>
      <c r="W143" s="2"/>
      <c r="X143" s="6">
        <f t="shared" si="44"/>
        <v>40679.019999999997</v>
      </c>
      <c r="Y143" s="2"/>
      <c r="Z143" s="7">
        <f t="shared" si="45"/>
        <v>13.721032677622169</v>
      </c>
    </row>
    <row r="144" spans="1:26" s="28" customFormat="1" outlineLevel="1" collapsed="1" x14ac:dyDescent="0.25">
      <c r="A144" s="27"/>
      <c r="B144" s="14" t="str">
        <f>CONCATENATE("     ","Advertising/Promo                                 ")</f>
        <v xml:space="preserve">     Advertising/Promo                                 </v>
      </c>
      <c r="C144" s="14"/>
      <c r="D144" s="1">
        <f>SUM(OSRRefD22_2x_0)</f>
        <v>950.63</v>
      </c>
      <c r="E144" s="1"/>
      <c r="F144" s="5">
        <f t="shared" ref="F144:F152" si="46">IF(D$12=0,0,D144/D$12)</f>
        <v>1.6496723900185581E-3</v>
      </c>
      <c r="G144" s="1"/>
      <c r="H144" s="1">
        <f>SUM(OSRRefH22_2x_0)</f>
        <v>1316.16</v>
      </c>
      <c r="I144" s="1"/>
      <c r="J144" s="5">
        <f t="shared" ref="J144:J152" si="47">IF(H$12=0,0,H144/H$12)</f>
        <v>8.2203983123250446E-3</v>
      </c>
      <c r="K144" s="1"/>
      <c r="L144" s="1">
        <f t="shared" ref="L144:L152" si="48">+D144-H144</f>
        <v>-365.53000000000009</v>
      </c>
      <c r="M144" s="1"/>
      <c r="N144" s="5">
        <f t="shared" ref="N144:N152" si="49">IF(H144=0,0,L144/H144)</f>
        <v>-0.27772459275468031</v>
      </c>
      <c r="O144" s="14"/>
      <c r="P144" s="1">
        <f>SUM(OSRRefP22_2x_0)</f>
        <v>3237.95</v>
      </c>
      <c r="Q144" s="1"/>
      <c r="R144" s="5">
        <f t="shared" ref="R144:R152" si="50">IF(P$12=0,0,P144/P$12)</f>
        <v>1.1101122308568817E-3</v>
      </c>
      <c r="S144" s="1"/>
      <c r="T144" s="1">
        <f>SUM(OSRRefT22_2x_0)</f>
        <v>13709.75</v>
      </c>
      <c r="U144" s="1"/>
      <c r="V144" s="5">
        <f t="shared" ref="V144:V152" si="51">IF(T$12=0,0,T144/T$12)</f>
        <v>5.817605458529173E-3</v>
      </c>
      <c r="W144" s="1"/>
      <c r="X144" s="1">
        <f t="shared" ref="X144:X152" si="52">+P144-T144</f>
        <v>-10471.799999999999</v>
      </c>
      <c r="Y144" s="1"/>
      <c r="Z144" s="5">
        <f t="shared" ref="Z144:Z152" si="53">IF(T144=0,0,X144/T144)</f>
        <v>-0.76382136800452227</v>
      </c>
    </row>
    <row r="145" spans="1:26" s="24" customFormat="1" hidden="1" outlineLevel="2" x14ac:dyDescent="0.25">
      <c r="A145" s="29"/>
      <c r="B145" s="11" t="str">
        <f>CONCATENATE("          ", "6362", " - ", "ADVERTISING EXPENSE")</f>
        <v xml:space="preserve">          6362 - ADVERTISING EXPENSE</v>
      </c>
      <c r="C145" s="11"/>
      <c r="D145" s="6">
        <v>950.63</v>
      </c>
      <c r="E145" s="2"/>
      <c r="F145" s="7">
        <f t="shared" si="46"/>
        <v>1.6496723900185581E-3</v>
      </c>
      <c r="G145" s="2"/>
      <c r="H145" s="6">
        <v>1316.16</v>
      </c>
      <c r="I145" s="2"/>
      <c r="J145" s="7">
        <f t="shared" si="47"/>
        <v>8.2203983123250446E-3</v>
      </c>
      <c r="K145" s="2"/>
      <c r="L145" s="6">
        <f t="shared" si="48"/>
        <v>-365.53000000000009</v>
      </c>
      <c r="M145" s="2"/>
      <c r="N145" s="7">
        <f t="shared" si="49"/>
        <v>-0.27772459275468031</v>
      </c>
      <c r="O145" s="11"/>
      <c r="P145" s="6">
        <v>3237.95</v>
      </c>
      <c r="Q145" s="2"/>
      <c r="R145" s="7">
        <f t="shared" si="50"/>
        <v>1.1101122308568817E-3</v>
      </c>
      <c r="S145" s="2"/>
      <c r="T145" s="6">
        <v>13709.75</v>
      </c>
      <c r="U145" s="2"/>
      <c r="V145" s="7">
        <f t="shared" si="51"/>
        <v>5.817605458529173E-3</v>
      </c>
      <c r="W145" s="2"/>
      <c r="X145" s="6">
        <f t="shared" si="52"/>
        <v>-10471.799999999999</v>
      </c>
      <c r="Y145" s="2"/>
      <c r="Z145" s="7">
        <f t="shared" si="53"/>
        <v>-0.76382136800452227</v>
      </c>
    </row>
    <row r="146" spans="1:26" s="28" customFormat="1" outlineLevel="1" collapsed="1" x14ac:dyDescent="0.25">
      <c r="A146" s="27"/>
      <c r="B146" s="14" t="str">
        <f>CONCATENATE("     ","Bad Debts/Over/Short                              ")</f>
        <v xml:space="preserve">     Bad Debts/Over/Short                              </v>
      </c>
      <c r="C146" s="14"/>
      <c r="D146" s="1">
        <f>SUM(OSRRefD22_3x_0)</f>
        <v>-37.729999999999997</v>
      </c>
      <c r="E146" s="1"/>
      <c r="F146" s="5">
        <f t="shared" si="46"/>
        <v>-6.5474621330486305E-5</v>
      </c>
      <c r="G146" s="1"/>
      <c r="H146" s="1">
        <f>SUM(OSRRefH22_3x_0)</f>
        <v>-29.45</v>
      </c>
      <c r="I146" s="1"/>
      <c r="J146" s="5">
        <f t="shared" si="47"/>
        <v>-1.8393715832267546E-4</v>
      </c>
      <c r="K146" s="1"/>
      <c r="L146" s="1">
        <f t="shared" si="48"/>
        <v>-8.2799999999999976</v>
      </c>
      <c r="M146" s="1"/>
      <c r="N146" s="5">
        <f t="shared" si="49"/>
        <v>0.28115449915110347</v>
      </c>
      <c r="O146" s="14"/>
      <c r="P146" s="1">
        <f>SUM(OSRRefP22_3x_0)</f>
        <v>225.67</v>
      </c>
      <c r="Q146" s="1"/>
      <c r="R146" s="5">
        <f t="shared" si="50"/>
        <v>7.7369640401325676E-5</v>
      </c>
      <c r="S146" s="1"/>
      <c r="T146" s="1">
        <f>SUM(OSRRefT22_3x_0)</f>
        <v>53.87</v>
      </c>
      <c r="U146" s="1"/>
      <c r="V146" s="5">
        <f t="shared" si="51"/>
        <v>2.2859235657175844E-5</v>
      </c>
      <c r="W146" s="1"/>
      <c r="X146" s="1">
        <f t="shared" si="52"/>
        <v>171.79999999999998</v>
      </c>
      <c r="Y146" s="1"/>
      <c r="Z146" s="5">
        <f t="shared" si="53"/>
        <v>3.18915908669018</v>
      </c>
    </row>
    <row r="147" spans="1:26" s="24" customFormat="1" hidden="1" outlineLevel="2" x14ac:dyDescent="0.25">
      <c r="A147" s="29"/>
      <c r="B147" s="11" t="str">
        <f>CONCATENATE("          ", "6272", " - ", "CASH (OVER/SHORT)")</f>
        <v xml:space="preserve">          6272 - CASH (OVER/SHORT)</v>
      </c>
      <c r="C147" s="11"/>
      <c r="D147" s="6">
        <v>-37.729999999999997</v>
      </c>
      <c r="E147" s="2"/>
      <c r="F147" s="7">
        <f t="shared" si="46"/>
        <v>-6.5474621330486305E-5</v>
      </c>
      <c r="G147" s="2"/>
      <c r="H147" s="6">
        <v>-29.45</v>
      </c>
      <c r="I147" s="2"/>
      <c r="J147" s="7">
        <f t="shared" si="47"/>
        <v>-1.8393715832267546E-4</v>
      </c>
      <c r="K147" s="2"/>
      <c r="L147" s="6">
        <f t="shared" si="48"/>
        <v>-8.2799999999999976</v>
      </c>
      <c r="M147" s="2"/>
      <c r="N147" s="7">
        <f t="shared" si="49"/>
        <v>0.28115449915110347</v>
      </c>
      <c r="O147" s="11"/>
      <c r="P147" s="6">
        <v>225.67</v>
      </c>
      <c r="Q147" s="2"/>
      <c r="R147" s="7">
        <f t="shared" si="50"/>
        <v>7.7369640401325676E-5</v>
      </c>
      <c r="S147" s="2"/>
      <c r="T147" s="6">
        <v>53.87</v>
      </c>
      <c r="U147" s="2"/>
      <c r="V147" s="7">
        <f t="shared" si="51"/>
        <v>2.2859235657175844E-5</v>
      </c>
      <c r="W147" s="2"/>
      <c r="X147" s="6">
        <f t="shared" si="52"/>
        <v>171.79999999999998</v>
      </c>
      <c r="Y147" s="2"/>
      <c r="Z147" s="7">
        <f t="shared" si="53"/>
        <v>3.18915908669018</v>
      </c>
    </row>
    <row r="148" spans="1:26" s="28" customFormat="1" outlineLevel="1" collapsed="1" x14ac:dyDescent="0.25">
      <c r="A148" s="27"/>
      <c r="B148" s="14" t="str">
        <f>CONCATENATE("     ","Bank/card Fees                                    ")</f>
        <v xml:space="preserve">     Bank/card Fees                                    </v>
      </c>
      <c r="C148" s="14"/>
      <c r="D148" s="1">
        <f>SUM(OSRRefD22_4x_0)</f>
        <v>13855.03</v>
      </c>
      <c r="E148" s="1"/>
      <c r="F148" s="5">
        <f t="shared" si="46"/>
        <v>2.4043277041413406E-2</v>
      </c>
      <c r="G148" s="1"/>
      <c r="H148" s="1">
        <f>SUM(OSRRefH22_4x_0)</f>
        <v>5096.04</v>
      </c>
      <c r="I148" s="1"/>
      <c r="J148" s="5">
        <f t="shared" si="47"/>
        <v>3.1828560825082751E-2</v>
      </c>
      <c r="K148" s="1"/>
      <c r="L148" s="1">
        <f t="shared" si="48"/>
        <v>8758.9900000000016</v>
      </c>
      <c r="M148" s="1"/>
      <c r="N148" s="5">
        <f t="shared" si="49"/>
        <v>1.7187836045242977</v>
      </c>
      <c r="O148" s="14"/>
      <c r="P148" s="1">
        <f>SUM(OSRRefP22_4x_0)</f>
        <v>52980.68</v>
      </c>
      <c r="Q148" s="1"/>
      <c r="R148" s="5">
        <f t="shared" si="50"/>
        <v>1.8164116452420383E-2</v>
      </c>
      <c r="S148" s="1"/>
      <c r="T148" s="1">
        <f>SUM(OSRRefT22_4x_0)</f>
        <v>39573.99</v>
      </c>
      <c r="U148" s="1"/>
      <c r="V148" s="5">
        <f t="shared" si="51"/>
        <v>1.6792856196486364E-2</v>
      </c>
      <c r="W148" s="1"/>
      <c r="X148" s="1">
        <f t="shared" si="52"/>
        <v>13406.690000000002</v>
      </c>
      <c r="Y148" s="1"/>
      <c r="Z148" s="5">
        <f t="shared" si="53"/>
        <v>0.33877529154881786</v>
      </c>
    </row>
    <row r="149" spans="1:26" s="24" customFormat="1" hidden="1" outlineLevel="2" x14ac:dyDescent="0.25">
      <c r="A149" s="29"/>
      <c r="B149" s="11" t="str">
        <f>CONCATENATE("          ", "6381", " - ", "BANK/CREDIT CARD FEES")</f>
        <v xml:space="preserve">          6381 - BANK/CREDIT CARD FEES</v>
      </c>
      <c r="C149" s="11"/>
      <c r="D149" s="6">
        <v>13855.03</v>
      </c>
      <c r="E149" s="2"/>
      <c r="F149" s="7">
        <f t="shared" si="46"/>
        <v>2.4043277041413406E-2</v>
      </c>
      <c r="G149" s="2"/>
      <c r="H149" s="6">
        <v>5096.04</v>
      </c>
      <c r="I149" s="2"/>
      <c r="J149" s="7">
        <f t="shared" si="47"/>
        <v>3.1828560825082751E-2</v>
      </c>
      <c r="K149" s="2"/>
      <c r="L149" s="6">
        <f t="shared" si="48"/>
        <v>8758.9900000000016</v>
      </c>
      <c r="M149" s="2"/>
      <c r="N149" s="7">
        <f t="shared" si="49"/>
        <v>1.7187836045242977</v>
      </c>
      <c r="O149" s="11"/>
      <c r="P149" s="6">
        <v>52980.68</v>
      </c>
      <c r="Q149" s="2"/>
      <c r="R149" s="7">
        <f t="shared" si="50"/>
        <v>1.8164116452420383E-2</v>
      </c>
      <c r="S149" s="2"/>
      <c r="T149" s="6">
        <v>39573.99</v>
      </c>
      <c r="U149" s="2"/>
      <c r="V149" s="7">
        <f t="shared" si="51"/>
        <v>1.6792856196486364E-2</v>
      </c>
      <c r="W149" s="2"/>
      <c r="X149" s="6">
        <f t="shared" si="52"/>
        <v>13406.690000000002</v>
      </c>
      <c r="Y149" s="2"/>
      <c r="Z149" s="7">
        <f t="shared" si="53"/>
        <v>0.33877529154881786</v>
      </c>
    </row>
    <row r="150" spans="1:26" s="28" customFormat="1" outlineLevel="1" collapsed="1" x14ac:dyDescent="0.25">
      <c r="A150" s="27"/>
      <c r="B150" s="14" t="str">
        <f>CONCATENATE("     ","Depreciation                                      ")</f>
        <v xml:space="preserve">     Depreciation                                      </v>
      </c>
      <c r="C150" s="14"/>
      <c r="D150" s="1">
        <f>SUM(OSRRefD22_5x_0)</f>
        <v>36939.61</v>
      </c>
      <c r="E150" s="1"/>
      <c r="F150" s="5">
        <f t="shared" si="46"/>
        <v>6.4103020854647377E-2</v>
      </c>
      <c r="G150" s="1"/>
      <c r="H150" s="1">
        <f>SUM(OSRRefH22_5x_0)</f>
        <v>39999.31</v>
      </c>
      <c r="I150" s="1"/>
      <c r="J150" s="5">
        <f t="shared" si="47"/>
        <v>0.24982544707191087</v>
      </c>
      <c r="K150" s="1"/>
      <c r="L150" s="1">
        <f t="shared" si="48"/>
        <v>-3059.6999999999971</v>
      </c>
      <c r="M150" s="1"/>
      <c r="N150" s="5">
        <f t="shared" si="49"/>
        <v>-7.649381951838663E-2</v>
      </c>
      <c r="O150" s="14"/>
      <c r="P150" s="1">
        <f>SUM(OSRRefP22_5x_0)</f>
        <v>150508.26</v>
      </c>
      <c r="Q150" s="1"/>
      <c r="R150" s="5">
        <f t="shared" si="50"/>
        <v>5.1600877181855062E-2</v>
      </c>
      <c r="S150" s="1"/>
      <c r="T150" s="1">
        <f>SUM(OSRRefT22_5x_0)</f>
        <v>160028.53</v>
      </c>
      <c r="U150" s="1"/>
      <c r="V150" s="5">
        <f t="shared" si="51"/>
        <v>6.7906624821634204E-2</v>
      </c>
      <c r="W150" s="1"/>
      <c r="X150" s="1">
        <f t="shared" si="52"/>
        <v>-9520.2699999999895</v>
      </c>
      <c r="Y150" s="1"/>
      <c r="Z150" s="5">
        <f t="shared" si="53"/>
        <v>-5.9491079496887145E-2</v>
      </c>
    </row>
    <row r="151" spans="1:26" s="24" customFormat="1" hidden="1" outlineLevel="2" x14ac:dyDescent="0.25">
      <c r="A151" s="29"/>
      <c r="B151" s="11" t="str">
        <f>CONCATENATE("          ", "6321", " - ", "BUILDING DEPRECIATION")</f>
        <v xml:space="preserve">          6321 - BUILDING DEPRECIATION</v>
      </c>
      <c r="C151" s="11"/>
      <c r="D151" s="6">
        <v>21477.03</v>
      </c>
      <c r="E151" s="2"/>
      <c r="F151" s="7">
        <f t="shared" si="46"/>
        <v>3.727008763725137E-2</v>
      </c>
      <c r="G151" s="2"/>
      <c r="H151" s="6">
        <v>21477.03</v>
      </c>
      <c r="I151" s="2"/>
      <c r="J151" s="7">
        <f t="shared" si="47"/>
        <v>0.13414002945367912</v>
      </c>
      <c r="K151" s="2"/>
      <c r="L151" s="6">
        <f t="shared" si="48"/>
        <v>0</v>
      </c>
      <c r="M151" s="2"/>
      <c r="N151" s="7">
        <f t="shared" si="49"/>
        <v>0</v>
      </c>
      <c r="O151" s="11"/>
      <c r="P151" s="6">
        <v>85908.12</v>
      </c>
      <c r="Q151" s="2"/>
      <c r="R151" s="7">
        <f t="shared" si="50"/>
        <v>2.9453096787140226E-2</v>
      </c>
      <c r="S151" s="2"/>
      <c r="T151" s="6">
        <v>85908.12</v>
      </c>
      <c r="U151" s="2"/>
      <c r="V151" s="7">
        <f t="shared" si="51"/>
        <v>3.6454315202245062E-2</v>
      </c>
      <c r="W151" s="2"/>
      <c r="X151" s="6">
        <f t="shared" si="52"/>
        <v>0</v>
      </c>
      <c r="Y151" s="2"/>
      <c r="Z151" s="7">
        <f t="shared" si="53"/>
        <v>0</v>
      </c>
    </row>
    <row r="152" spans="1:26" s="24" customFormat="1" hidden="1" outlineLevel="2" x14ac:dyDescent="0.25">
      <c r="A152" s="29"/>
      <c r="B152" s="11" t="str">
        <f>CONCATENATE("          ", "6322", " - ", "EQUIPMENT DEPRECIATION EXPENSE")</f>
        <v xml:space="preserve">          6322 - EQUIPMENT DEPRECIATION EXPENSE</v>
      </c>
      <c r="C152" s="11"/>
      <c r="D152" s="6">
        <v>15462.58</v>
      </c>
      <c r="E152" s="2"/>
      <c r="F152" s="7">
        <f t="shared" si="46"/>
        <v>2.6832933217395997E-2</v>
      </c>
      <c r="G152" s="2"/>
      <c r="H152" s="6">
        <v>18522.28</v>
      </c>
      <c r="I152" s="2"/>
      <c r="J152" s="7">
        <f t="shared" si="47"/>
        <v>0.11568541761823174</v>
      </c>
      <c r="K152" s="2"/>
      <c r="L152" s="6">
        <f t="shared" si="48"/>
        <v>-3059.6999999999989</v>
      </c>
      <c r="M152" s="2"/>
      <c r="N152" s="7">
        <f t="shared" si="49"/>
        <v>-0.16519024655711928</v>
      </c>
      <c r="O152" s="11"/>
      <c r="P152" s="6">
        <v>64600.14</v>
      </c>
      <c r="Q152" s="2"/>
      <c r="R152" s="7">
        <f t="shared" si="50"/>
        <v>2.2147780394714829E-2</v>
      </c>
      <c r="S152" s="2"/>
      <c r="T152" s="6">
        <v>74120.41</v>
      </c>
      <c r="U152" s="2"/>
      <c r="V152" s="7">
        <f t="shared" si="51"/>
        <v>3.1452309619389142E-2</v>
      </c>
      <c r="W152" s="2"/>
      <c r="X152" s="6">
        <f t="shared" si="52"/>
        <v>-9520.2700000000041</v>
      </c>
      <c r="Y152" s="2"/>
      <c r="Z152" s="7">
        <f t="shared" si="53"/>
        <v>-0.12844329922082195</v>
      </c>
    </row>
    <row r="153" spans="1:26" s="28" customFormat="1" outlineLevel="1" collapsed="1" x14ac:dyDescent="0.25">
      <c r="A153" s="27"/>
      <c r="B153" s="14" t="str">
        <f>CONCATENATE("     ","Discounts and Markdowns                           ")</f>
        <v xml:space="preserve">     Discounts and Markdowns                           </v>
      </c>
      <c r="C153" s="14"/>
      <c r="D153" s="1">
        <f>SUM(OSRRefD22_6x_0)</f>
        <v>-43.75</v>
      </c>
      <c r="E153" s="1"/>
      <c r="F153" s="5">
        <f t="shared" ref="F153:F155" si="54">IF(D$12=0,0,D153/D$12)</f>
        <v>-7.5921406923105638E-5</v>
      </c>
      <c r="G153" s="1"/>
      <c r="H153" s="1">
        <f>SUM(OSRRefH22_6x_0)</f>
        <v>-1249.8000000000002</v>
      </c>
      <c r="I153" s="1"/>
      <c r="J153" s="5">
        <f t="shared" ref="J153:J155" si="55">IF(H$12=0,0,H153/H$12)</f>
        <v>-7.8059307460672262E-3</v>
      </c>
      <c r="K153" s="1"/>
      <c r="L153" s="1">
        <f t="shared" ref="L153:L155" si="56">+D153-H153</f>
        <v>1206.0500000000002</v>
      </c>
      <c r="M153" s="1"/>
      <c r="N153" s="5">
        <f t="shared" ref="N153:N155" si="57">IF(H153=0,0,L153/H153)</f>
        <v>-0.96499439910385665</v>
      </c>
      <c r="O153" s="14"/>
      <c r="P153" s="1">
        <f>SUM(OSRRefP22_6x_0)</f>
        <v>-66.239999999999995</v>
      </c>
      <c r="Q153" s="1"/>
      <c r="R153" s="5">
        <f t="shared" ref="R153:R155" si="58">IF(P$12=0,0,P153/P$12)</f>
        <v>-2.2709996810315119E-5</v>
      </c>
      <c r="S153" s="1"/>
      <c r="T153" s="1">
        <f>SUM(OSRRefT22_6x_0)</f>
        <v>-418.85</v>
      </c>
      <c r="U153" s="1"/>
      <c r="V153" s="5">
        <f t="shared" ref="V153:V155" si="59">IF(T$12=0,0,T153/T$12)</f>
        <v>-1.777351188974959E-4</v>
      </c>
      <c r="W153" s="1"/>
      <c r="X153" s="1">
        <f t="shared" ref="X153:X155" si="60">+P153-T153</f>
        <v>352.61</v>
      </c>
      <c r="Y153" s="1"/>
      <c r="Z153" s="5">
        <f t="shared" ref="Z153:Z155" si="61">IF(T153=0,0,X153/T153)</f>
        <v>-0.84185269189447298</v>
      </c>
    </row>
    <row r="154" spans="1:26" s="24" customFormat="1" hidden="1" outlineLevel="2" x14ac:dyDescent="0.25">
      <c r="A154" s="29"/>
      <c r="B154" s="11" t="str">
        <f>CONCATENATE("          ", "6382", " - ", "DISCOUNTS/MARK DOWNS")</f>
        <v xml:space="preserve">          6382 - DISCOUNTS/MARK DOWNS</v>
      </c>
      <c r="C154" s="11"/>
      <c r="D154" s="6"/>
      <c r="E154" s="2"/>
      <c r="F154" s="7">
        <f t="shared" si="54"/>
        <v>0</v>
      </c>
      <c r="G154" s="2"/>
      <c r="H154" s="6">
        <v>-830.95</v>
      </c>
      <c r="I154" s="2"/>
      <c r="J154" s="7">
        <f t="shared" si="55"/>
        <v>-5.1899009069007532E-3</v>
      </c>
      <c r="K154" s="2"/>
      <c r="L154" s="6">
        <f t="shared" si="56"/>
        <v>830.95</v>
      </c>
      <c r="M154" s="2"/>
      <c r="N154" s="7">
        <f t="shared" si="57"/>
        <v>-1</v>
      </c>
      <c r="O154" s="11"/>
      <c r="P154" s="6"/>
      <c r="Q154" s="2"/>
      <c r="R154" s="7">
        <f t="shared" si="58"/>
        <v>0</v>
      </c>
      <c r="S154" s="2"/>
      <c r="T154" s="6">
        <v>0</v>
      </c>
      <c r="U154" s="2"/>
      <c r="V154" s="7">
        <f t="shared" si="59"/>
        <v>0</v>
      </c>
      <c r="W154" s="2"/>
      <c r="X154" s="6">
        <f t="shared" si="60"/>
        <v>0</v>
      </c>
      <c r="Y154" s="2"/>
      <c r="Z154" s="7">
        <f t="shared" si="61"/>
        <v>0</v>
      </c>
    </row>
    <row r="155" spans="1:26" s="24" customFormat="1" hidden="1" outlineLevel="2" x14ac:dyDescent="0.25">
      <c r="A155" s="29"/>
      <c r="B155" s="11" t="str">
        <f>CONCATENATE("          ", "9175", " - ", "EARNED DISCOUNTS")</f>
        <v xml:space="preserve">          9175 - EARNED DISCOUNTS</v>
      </c>
      <c r="C155" s="11"/>
      <c r="D155" s="6">
        <v>-43.75</v>
      </c>
      <c r="E155" s="2"/>
      <c r="F155" s="7">
        <f t="shared" si="54"/>
        <v>-7.5921406923105638E-5</v>
      </c>
      <c r="G155" s="2"/>
      <c r="H155" s="6">
        <v>-418.85</v>
      </c>
      <c r="I155" s="2"/>
      <c r="J155" s="7">
        <f t="shared" si="55"/>
        <v>-2.6160298391664726E-3</v>
      </c>
      <c r="K155" s="2"/>
      <c r="L155" s="6">
        <f t="shared" si="56"/>
        <v>375.1</v>
      </c>
      <c r="M155" s="2"/>
      <c r="N155" s="7">
        <f t="shared" si="57"/>
        <v>-0.89554733198042258</v>
      </c>
      <c r="O155" s="11"/>
      <c r="P155" s="6">
        <v>-66.239999999999995</v>
      </c>
      <c r="Q155" s="2"/>
      <c r="R155" s="7">
        <f t="shared" si="58"/>
        <v>-2.2709996810315119E-5</v>
      </c>
      <c r="S155" s="2"/>
      <c r="T155" s="6">
        <v>-418.85</v>
      </c>
      <c r="U155" s="2"/>
      <c r="V155" s="7">
        <f t="shared" si="59"/>
        <v>-1.777351188974959E-4</v>
      </c>
      <c r="W155" s="2"/>
      <c r="X155" s="6">
        <f t="shared" si="60"/>
        <v>352.61</v>
      </c>
      <c r="Y155" s="2"/>
      <c r="Z155" s="7">
        <f t="shared" si="61"/>
        <v>-0.84185269189447298</v>
      </c>
    </row>
    <row r="156" spans="1:26" s="28" customFormat="1" outlineLevel="1" collapsed="1" x14ac:dyDescent="0.25">
      <c r="A156" s="27"/>
      <c r="B156" s="14" t="str">
        <f>CONCATENATE("     ","Donations                                         ")</f>
        <v xml:space="preserve">     Donations                                         </v>
      </c>
      <c r="C156" s="14"/>
      <c r="D156" s="1">
        <f>SUM(OSRRefD22_7x_0)</f>
        <v>1483.48</v>
      </c>
      <c r="E156" s="1"/>
      <c r="F156" s="5">
        <f t="shared" ref="F156:F164" si="62">IF(D$12=0,0,D156/D$12)</f>
        <v>2.5743517426808859E-3</v>
      </c>
      <c r="G156" s="1"/>
      <c r="H156" s="1">
        <f>SUM(OSRRefH22_7x_0)</f>
        <v>0</v>
      </c>
      <c r="I156" s="1"/>
      <c r="J156" s="5">
        <f t="shared" ref="J156:J164" si="63">IF(H$12=0,0,H156/H$12)</f>
        <v>0</v>
      </c>
      <c r="K156" s="1"/>
      <c r="L156" s="1">
        <f t="shared" ref="L156:L164" si="64">+D156-H156</f>
        <v>1483.48</v>
      </c>
      <c r="M156" s="1"/>
      <c r="N156" s="5">
        <f t="shared" ref="N156:N164" si="65">IF(H156=0,0,L156/H156)</f>
        <v>0</v>
      </c>
      <c r="O156" s="14"/>
      <c r="P156" s="1">
        <f>SUM(OSRRefP22_7x_0)</f>
        <v>1483.48</v>
      </c>
      <c r="Q156" s="1"/>
      <c r="R156" s="5">
        <f t="shared" ref="R156:R164" si="66">IF(P$12=0,0,P156/P$12)</f>
        <v>5.0860244668125419E-4</v>
      </c>
      <c r="S156" s="1"/>
      <c r="T156" s="1">
        <f>SUM(OSRRefT22_7x_0)</f>
        <v>0</v>
      </c>
      <c r="U156" s="1"/>
      <c r="V156" s="5">
        <f t="shared" ref="V156:V164" si="67">IF(T$12=0,0,T156/T$12)</f>
        <v>0</v>
      </c>
      <c r="W156" s="1"/>
      <c r="X156" s="1">
        <f t="shared" ref="X156:X164" si="68">+P156-T156</f>
        <v>1483.48</v>
      </c>
      <c r="Y156" s="1"/>
      <c r="Z156" s="5">
        <f t="shared" ref="Z156:Z164" si="69">IF(T156=0,0,X156/T156)</f>
        <v>0</v>
      </c>
    </row>
    <row r="157" spans="1:26" s="24" customFormat="1" hidden="1" outlineLevel="2" x14ac:dyDescent="0.25">
      <c r="A157" s="29"/>
      <c r="B157" s="11" t="str">
        <f>CONCATENATE("          ", "6399", " - ", "DONATION-ON CAMPUS")</f>
        <v xml:space="preserve">          6399 - DONATION-ON CAMPUS</v>
      </c>
      <c r="C157" s="11"/>
      <c r="D157" s="6">
        <v>1483.48</v>
      </c>
      <c r="E157" s="2"/>
      <c r="F157" s="7">
        <f t="shared" si="62"/>
        <v>2.5743517426808859E-3</v>
      </c>
      <c r="G157" s="2"/>
      <c r="H157" s="6"/>
      <c r="I157" s="2"/>
      <c r="J157" s="7">
        <f t="shared" si="63"/>
        <v>0</v>
      </c>
      <c r="K157" s="2"/>
      <c r="L157" s="6">
        <f t="shared" si="64"/>
        <v>1483.48</v>
      </c>
      <c r="M157" s="2"/>
      <c r="N157" s="7">
        <f t="shared" si="65"/>
        <v>0</v>
      </c>
      <c r="O157" s="11"/>
      <c r="P157" s="6">
        <v>1483.48</v>
      </c>
      <c r="Q157" s="2"/>
      <c r="R157" s="7">
        <f t="shared" si="66"/>
        <v>5.0860244668125419E-4</v>
      </c>
      <c r="S157" s="2"/>
      <c r="T157" s="6"/>
      <c r="U157" s="2"/>
      <c r="V157" s="7">
        <f t="shared" si="67"/>
        <v>0</v>
      </c>
      <c r="W157" s="2"/>
      <c r="X157" s="6">
        <f t="shared" si="68"/>
        <v>1483.48</v>
      </c>
      <c r="Y157" s="2"/>
      <c r="Z157" s="7">
        <f t="shared" si="69"/>
        <v>0</v>
      </c>
    </row>
    <row r="158" spans="1:26" s="28" customFormat="1" outlineLevel="1" collapsed="1" x14ac:dyDescent="0.25">
      <c r="A158" s="27"/>
      <c r="B158" s="14" t="str">
        <f>CONCATENATE("     ","Employees' Appreciation                           ")</f>
        <v xml:space="preserve">     Employees' Appreciation                           </v>
      </c>
      <c r="C158" s="14"/>
      <c r="D158" s="1">
        <f>SUM(OSRRefD22_8x_0)</f>
        <v>0</v>
      </c>
      <c r="E158" s="1"/>
      <c r="F158" s="5">
        <f t="shared" si="62"/>
        <v>0</v>
      </c>
      <c r="G158" s="1"/>
      <c r="H158" s="1">
        <f>SUM(OSRRefH22_8x_0)</f>
        <v>0</v>
      </c>
      <c r="I158" s="1"/>
      <c r="J158" s="5">
        <f t="shared" si="63"/>
        <v>0</v>
      </c>
      <c r="K158" s="1"/>
      <c r="L158" s="1">
        <f t="shared" si="64"/>
        <v>0</v>
      </c>
      <c r="M158" s="1"/>
      <c r="N158" s="5">
        <f t="shared" si="65"/>
        <v>0</v>
      </c>
      <c r="O158" s="14"/>
      <c r="P158" s="1">
        <f>SUM(OSRRefP22_8x_0)</f>
        <v>1384.63</v>
      </c>
      <c r="Q158" s="1"/>
      <c r="R158" s="5">
        <f t="shared" si="66"/>
        <v>4.7471230198470153E-4</v>
      </c>
      <c r="S158" s="1"/>
      <c r="T158" s="1">
        <f>SUM(OSRRefT22_8x_0)</f>
        <v>107.7</v>
      </c>
      <c r="U158" s="1"/>
      <c r="V158" s="5">
        <f t="shared" si="67"/>
        <v>4.5701497684756615E-5</v>
      </c>
      <c r="W158" s="1"/>
      <c r="X158" s="1">
        <f t="shared" si="68"/>
        <v>1276.93</v>
      </c>
      <c r="Y158" s="1"/>
      <c r="Z158" s="5">
        <f t="shared" si="69"/>
        <v>11.856360259981431</v>
      </c>
    </row>
    <row r="159" spans="1:26" s="24" customFormat="1" hidden="1" outlineLevel="2" x14ac:dyDescent="0.25">
      <c r="A159" s="29"/>
      <c r="B159" s="11" t="str">
        <f>CONCATENATE("          ", "6277", " - ", "EMPLOYEE APPRECIATION")</f>
        <v xml:space="preserve">          6277 - EMPLOYEE APPRECIATION</v>
      </c>
      <c r="C159" s="11"/>
      <c r="D159" s="6"/>
      <c r="E159" s="2"/>
      <c r="F159" s="7">
        <f t="shared" si="62"/>
        <v>0</v>
      </c>
      <c r="G159" s="2"/>
      <c r="H159" s="6"/>
      <c r="I159" s="2"/>
      <c r="J159" s="7">
        <f t="shared" si="63"/>
        <v>0</v>
      </c>
      <c r="K159" s="2"/>
      <c r="L159" s="6">
        <f t="shared" si="64"/>
        <v>0</v>
      </c>
      <c r="M159" s="2"/>
      <c r="N159" s="7">
        <f t="shared" si="65"/>
        <v>0</v>
      </c>
      <c r="O159" s="11"/>
      <c r="P159" s="6">
        <v>1384.63</v>
      </c>
      <c r="Q159" s="2"/>
      <c r="R159" s="7">
        <f t="shared" si="66"/>
        <v>4.7471230198470153E-4</v>
      </c>
      <c r="S159" s="2"/>
      <c r="T159" s="6">
        <v>107.7</v>
      </c>
      <c r="U159" s="2"/>
      <c r="V159" s="7">
        <f t="shared" si="67"/>
        <v>4.5701497684756615E-5</v>
      </c>
      <c r="W159" s="2"/>
      <c r="X159" s="6">
        <f t="shared" si="68"/>
        <v>1276.93</v>
      </c>
      <c r="Y159" s="2"/>
      <c r="Z159" s="7">
        <f t="shared" si="69"/>
        <v>11.856360259981431</v>
      </c>
    </row>
    <row r="160" spans="1:26" s="28" customFormat="1" outlineLevel="1" collapsed="1" x14ac:dyDescent="0.25">
      <c r="A160" s="27"/>
      <c r="B160" s="14" t="str">
        <f>CONCATENATE("     ","Equipment Rental                                  ")</f>
        <v xml:space="preserve">     Equipment Rental                                  </v>
      </c>
      <c r="C160" s="14"/>
      <c r="D160" s="1">
        <f>SUM(OSRRefD22_9x_0)</f>
        <v>1531.35</v>
      </c>
      <c r="E160" s="1"/>
      <c r="F160" s="5">
        <f t="shared" si="62"/>
        <v>2.657422776953093E-3</v>
      </c>
      <c r="G160" s="1"/>
      <c r="H160" s="1">
        <f>SUM(OSRRefH22_9x_0)</f>
        <v>1479.42</v>
      </c>
      <c r="I160" s="1"/>
      <c r="J160" s="5">
        <f t="shared" si="63"/>
        <v>9.2400784640316661E-3</v>
      </c>
      <c r="K160" s="1"/>
      <c r="L160" s="1">
        <f t="shared" si="64"/>
        <v>51.929999999999836</v>
      </c>
      <c r="M160" s="1"/>
      <c r="N160" s="5">
        <f t="shared" si="65"/>
        <v>3.5101593867867022E-2</v>
      </c>
      <c r="O160" s="14"/>
      <c r="P160" s="1">
        <f>SUM(OSRRefP22_9x_0)</f>
        <v>6611.4</v>
      </c>
      <c r="Q160" s="1"/>
      <c r="R160" s="5">
        <f t="shared" si="66"/>
        <v>2.2666798446817236E-3</v>
      </c>
      <c r="S160" s="1"/>
      <c r="T160" s="1">
        <f>SUM(OSRRefT22_9x_0)</f>
        <v>5967.79</v>
      </c>
      <c r="U160" s="1"/>
      <c r="V160" s="5">
        <f t="shared" si="67"/>
        <v>2.5323764240307673E-3</v>
      </c>
      <c r="W160" s="1"/>
      <c r="X160" s="1">
        <f t="shared" si="68"/>
        <v>643.60999999999967</v>
      </c>
      <c r="Y160" s="1"/>
      <c r="Z160" s="5">
        <f t="shared" si="69"/>
        <v>0.10784729355423024</v>
      </c>
    </row>
    <row r="161" spans="1:26" s="24" customFormat="1" hidden="1" outlineLevel="2" x14ac:dyDescent="0.25">
      <c r="A161" s="29"/>
      <c r="B161" s="11" t="str">
        <f>CONCATENATE("          ", "6351", " - ", "EQUIPMENT RENTAL")</f>
        <v xml:space="preserve">          6351 - EQUIPMENT RENTAL</v>
      </c>
      <c r="C161" s="11"/>
      <c r="D161" s="6">
        <v>1531.35</v>
      </c>
      <c r="E161" s="2"/>
      <c r="F161" s="7">
        <f t="shared" si="62"/>
        <v>2.657422776953093E-3</v>
      </c>
      <c r="G161" s="2"/>
      <c r="H161" s="6">
        <v>1479.42</v>
      </c>
      <c r="I161" s="2"/>
      <c r="J161" s="7">
        <f t="shared" si="63"/>
        <v>9.2400784640316661E-3</v>
      </c>
      <c r="K161" s="2"/>
      <c r="L161" s="6">
        <f t="shared" si="64"/>
        <v>51.929999999999836</v>
      </c>
      <c r="M161" s="2"/>
      <c r="N161" s="7">
        <f t="shared" si="65"/>
        <v>3.5101593867867022E-2</v>
      </c>
      <c r="O161" s="11"/>
      <c r="P161" s="6">
        <v>6611.4</v>
      </c>
      <c r="Q161" s="2"/>
      <c r="R161" s="7">
        <f t="shared" si="66"/>
        <v>2.2666798446817236E-3</v>
      </c>
      <c r="S161" s="2"/>
      <c r="T161" s="6">
        <v>5967.79</v>
      </c>
      <c r="U161" s="2"/>
      <c r="V161" s="7">
        <f t="shared" si="67"/>
        <v>2.5323764240307673E-3</v>
      </c>
      <c r="W161" s="2"/>
      <c r="X161" s="6">
        <f t="shared" si="68"/>
        <v>643.60999999999967</v>
      </c>
      <c r="Y161" s="2"/>
      <c r="Z161" s="7">
        <f t="shared" si="69"/>
        <v>0.10784729355423024</v>
      </c>
    </row>
    <row r="162" spans="1:26" s="28" customFormat="1" outlineLevel="1" collapsed="1" x14ac:dyDescent="0.25">
      <c r="A162" s="27"/>
      <c r="B162" s="14" t="str">
        <f>CONCATENATE("     ","Freight out/Postage                               ")</f>
        <v xml:space="preserve">     Freight out/Postage                               </v>
      </c>
      <c r="C162" s="14"/>
      <c r="D162" s="1">
        <f>SUM(OSRRefD22_10x_0)</f>
        <v>-23519.489999999998</v>
      </c>
      <c r="E162" s="1"/>
      <c r="F162" s="5">
        <f t="shared" si="62"/>
        <v>-4.0814463335175175E-2</v>
      </c>
      <c r="G162" s="1"/>
      <c r="H162" s="1">
        <f>SUM(OSRRefH22_10x_0)</f>
        <v>48993.59</v>
      </c>
      <c r="I162" s="1"/>
      <c r="J162" s="5">
        <f t="shared" si="63"/>
        <v>0.30600141665963493</v>
      </c>
      <c r="K162" s="1"/>
      <c r="L162" s="1">
        <f t="shared" si="64"/>
        <v>-72513.079999999987</v>
      </c>
      <c r="M162" s="1"/>
      <c r="N162" s="5">
        <f t="shared" si="65"/>
        <v>-1.4800523905270055</v>
      </c>
      <c r="O162" s="14"/>
      <c r="P162" s="1">
        <f>SUM(OSRRefP22_10x_0)</f>
        <v>-35649.289999999994</v>
      </c>
      <c r="Q162" s="1"/>
      <c r="R162" s="5">
        <f t="shared" si="66"/>
        <v>-1.222215069731278E-2</v>
      </c>
      <c r="S162" s="1"/>
      <c r="T162" s="1">
        <f>SUM(OSRRefT22_10x_0)</f>
        <v>-31747.919999999998</v>
      </c>
      <c r="U162" s="1"/>
      <c r="V162" s="5">
        <f t="shared" si="67"/>
        <v>-1.3471935862356899E-2</v>
      </c>
      <c r="W162" s="1"/>
      <c r="X162" s="1">
        <f t="shared" si="68"/>
        <v>-3901.3699999999953</v>
      </c>
      <c r="Y162" s="1"/>
      <c r="Z162" s="5">
        <f t="shared" si="69"/>
        <v>0.12288584574989465</v>
      </c>
    </row>
    <row r="163" spans="1:26" s="24" customFormat="1" hidden="1" outlineLevel="2" x14ac:dyDescent="0.25">
      <c r="A163" s="29"/>
      <c r="B163" s="11" t="str">
        <f>CONCATENATE("          ", "6305", " - ", "FREIGHT OUT")</f>
        <v xml:space="preserve">          6305 - FREIGHT OUT</v>
      </c>
      <c r="C163" s="11"/>
      <c r="D163" s="6">
        <v>26185.08</v>
      </c>
      <c r="E163" s="2"/>
      <c r="F163" s="7">
        <f t="shared" si="62"/>
        <v>4.5440185462721723E-2</v>
      </c>
      <c r="G163" s="2"/>
      <c r="H163" s="6">
        <v>60680.11</v>
      </c>
      <c r="I163" s="2"/>
      <c r="J163" s="7">
        <f t="shared" si="63"/>
        <v>0.37899242784744863</v>
      </c>
      <c r="K163" s="2"/>
      <c r="L163" s="6">
        <f t="shared" si="64"/>
        <v>-34495.03</v>
      </c>
      <c r="M163" s="2"/>
      <c r="N163" s="7">
        <f t="shared" si="65"/>
        <v>-0.56847342564144987</v>
      </c>
      <c r="O163" s="11"/>
      <c r="P163" s="6">
        <v>54764.89</v>
      </c>
      <c r="Q163" s="2"/>
      <c r="R163" s="7">
        <f t="shared" si="66"/>
        <v>1.8775822421758129E-2</v>
      </c>
      <c r="S163" s="2"/>
      <c r="T163" s="6">
        <v>86348.17</v>
      </c>
      <c r="U163" s="2"/>
      <c r="V163" s="7">
        <f t="shared" si="67"/>
        <v>3.6641046344827947E-2</v>
      </c>
      <c r="W163" s="2"/>
      <c r="X163" s="6">
        <f t="shared" si="68"/>
        <v>-31583.279999999999</v>
      </c>
      <c r="Y163" s="2"/>
      <c r="Z163" s="7">
        <f t="shared" si="69"/>
        <v>-0.36576663987204361</v>
      </c>
    </row>
    <row r="164" spans="1:26" s="24" customFormat="1" hidden="1" outlineLevel="2" x14ac:dyDescent="0.25">
      <c r="A164" s="29"/>
      <c r="B164" s="11" t="str">
        <f>CONCATENATE("          ", "6307", " - ", "POSTAGE")</f>
        <v xml:space="preserve">          6307 - POSTAGE</v>
      </c>
      <c r="C164" s="11"/>
      <c r="D164" s="6">
        <v>-49704.57</v>
      </c>
      <c r="E164" s="2"/>
      <c r="F164" s="7">
        <f t="shared" si="62"/>
        <v>-8.6254648797896891E-2</v>
      </c>
      <c r="G164" s="2"/>
      <c r="H164" s="6">
        <v>-11686.52</v>
      </c>
      <c r="I164" s="2"/>
      <c r="J164" s="7">
        <f t="shared" si="63"/>
        <v>-7.299101118781369E-2</v>
      </c>
      <c r="K164" s="2"/>
      <c r="L164" s="6">
        <f t="shared" si="64"/>
        <v>-38018.050000000003</v>
      </c>
      <c r="M164" s="2"/>
      <c r="N164" s="7">
        <f t="shared" si="65"/>
        <v>3.2531540612603238</v>
      </c>
      <c r="O164" s="11"/>
      <c r="P164" s="6">
        <v>-90414.18</v>
      </c>
      <c r="Q164" s="2"/>
      <c r="R164" s="7">
        <f t="shared" si="66"/>
        <v>-3.0997973119070907E-2</v>
      </c>
      <c r="S164" s="2"/>
      <c r="T164" s="6">
        <v>-118096.09</v>
      </c>
      <c r="U164" s="2"/>
      <c r="V164" s="7">
        <f t="shared" si="67"/>
        <v>-5.0112982207184846E-2</v>
      </c>
      <c r="W164" s="2"/>
      <c r="X164" s="6">
        <f t="shared" si="68"/>
        <v>27681.910000000003</v>
      </c>
      <c r="Y164" s="2"/>
      <c r="Z164" s="7">
        <f t="shared" si="69"/>
        <v>-0.23440157925634966</v>
      </c>
    </row>
    <row r="165" spans="1:26" s="28" customFormat="1" outlineLevel="1" collapsed="1" x14ac:dyDescent="0.25">
      <c r="A165" s="27"/>
      <c r="B165" s="14" t="str">
        <f>CONCATENATE("     ","General                                           ")</f>
        <v xml:space="preserve">     General                                           </v>
      </c>
      <c r="C165" s="14"/>
      <c r="D165" s="1">
        <f>SUM(OSRRefD22_11x_0)</f>
        <v>327.5</v>
      </c>
      <c r="E165" s="1"/>
      <c r="F165" s="5">
        <f t="shared" ref="F165:F173" si="70">IF(D$12=0,0,D165/D$12)</f>
        <v>5.6832596039581935E-4</v>
      </c>
      <c r="G165" s="1"/>
      <c r="H165" s="1">
        <f>SUM(OSRRefH22_11x_0)</f>
        <v>-40</v>
      </c>
      <c r="I165" s="1"/>
      <c r="J165" s="5">
        <f t="shared" ref="J165:J173" si="71">IF(H$12=0,0,H165/H$12)</f>
        <v>-2.4982975663521284E-4</v>
      </c>
      <c r="K165" s="1"/>
      <c r="L165" s="1">
        <f t="shared" ref="L165:L173" si="72">+D165-H165</f>
        <v>367.5</v>
      </c>
      <c r="M165" s="1"/>
      <c r="N165" s="5">
        <f t="shared" ref="N165:N173" si="73">IF(H165=0,0,L165/H165)</f>
        <v>-9.1875</v>
      </c>
      <c r="O165" s="14"/>
      <c r="P165" s="1">
        <f>SUM(OSRRefP22_11x_0)</f>
        <v>3806.1</v>
      </c>
      <c r="Q165" s="1"/>
      <c r="R165" s="5">
        <f t="shared" ref="R165:R173" si="74">IF(P$12=0,0,P165/P$12)</f>
        <v>1.3048991373753077E-3</v>
      </c>
      <c r="S165" s="1"/>
      <c r="T165" s="1">
        <f>SUM(OSRRefT22_11x_0)</f>
        <v>-1737.73</v>
      </c>
      <c r="U165" s="1"/>
      <c r="V165" s="5">
        <f t="shared" ref="V165:V173" si="75">IF(T$12=0,0,T165/T$12)</f>
        <v>-7.3738963390651915E-4</v>
      </c>
      <c r="W165" s="1"/>
      <c r="X165" s="1">
        <f t="shared" ref="X165:X173" si="76">+P165-T165</f>
        <v>5543.83</v>
      </c>
      <c r="Y165" s="1"/>
      <c r="Z165" s="5">
        <f t="shared" ref="Z165:Z173" si="77">IF(T165=0,0,X165/T165)</f>
        <v>-3.1902712158966007</v>
      </c>
    </row>
    <row r="166" spans="1:26" s="24" customFormat="1" hidden="1" outlineLevel="2" x14ac:dyDescent="0.25">
      <c r="A166" s="29"/>
      <c r="B166" s="11" t="str">
        <f>CONCATENATE("          ", "6279", " - ", "GENERAL EXPENSE")</f>
        <v xml:space="preserve">          6279 - GENERAL EXPENSE</v>
      </c>
      <c r="C166" s="11"/>
      <c r="D166" s="6">
        <v>327.5</v>
      </c>
      <c r="E166" s="2"/>
      <c r="F166" s="7">
        <f t="shared" si="70"/>
        <v>5.6832596039581935E-4</v>
      </c>
      <c r="G166" s="2"/>
      <c r="H166" s="6">
        <v>-40</v>
      </c>
      <c r="I166" s="2"/>
      <c r="J166" s="7">
        <f t="shared" si="71"/>
        <v>-2.4982975663521284E-4</v>
      </c>
      <c r="K166" s="2"/>
      <c r="L166" s="6">
        <f t="shared" si="72"/>
        <v>367.5</v>
      </c>
      <c r="M166" s="2"/>
      <c r="N166" s="7">
        <f t="shared" si="73"/>
        <v>-9.1875</v>
      </c>
      <c r="O166" s="11"/>
      <c r="P166" s="6">
        <v>3806.1</v>
      </c>
      <c r="Q166" s="2"/>
      <c r="R166" s="7">
        <f t="shared" si="74"/>
        <v>1.3048991373753077E-3</v>
      </c>
      <c r="S166" s="2"/>
      <c r="T166" s="6">
        <v>-1737.73</v>
      </c>
      <c r="U166" s="2"/>
      <c r="V166" s="7">
        <f t="shared" si="75"/>
        <v>-7.3738963390651915E-4</v>
      </c>
      <c r="W166" s="2"/>
      <c r="X166" s="6">
        <f t="shared" si="76"/>
        <v>5543.83</v>
      </c>
      <c r="Y166" s="2"/>
      <c r="Z166" s="7">
        <f t="shared" si="77"/>
        <v>-3.1902712158966007</v>
      </c>
    </row>
    <row r="167" spans="1:26" s="28" customFormat="1" outlineLevel="1" collapsed="1" x14ac:dyDescent="0.25">
      <c r="A167" s="27"/>
      <c r="B167" s="14" t="str">
        <f>CONCATENATE("     ","Insurance                                         ")</f>
        <v xml:space="preserve">     Insurance                                         </v>
      </c>
      <c r="C167" s="14"/>
      <c r="D167" s="1">
        <f>SUM(OSRRefD22_12x_0)</f>
        <v>5825.58</v>
      </c>
      <c r="E167" s="1"/>
      <c r="F167" s="5">
        <f t="shared" si="70"/>
        <v>1.0109399536985276E-2</v>
      </c>
      <c r="G167" s="1"/>
      <c r="H167" s="1">
        <f>SUM(OSRRefH22_12x_0)</f>
        <v>4288.28</v>
      </c>
      <c r="I167" s="1"/>
      <c r="J167" s="5">
        <f t="shared" si="71"/>
        <v>2.6783498719591261E-2</v>
      </c>
      <c r="K167" s="1"/>
      <c r="L167" s="1">
        <f t="shared" si="72"/>
        <v>1537.3000000000002</v>
      </c>
      <c r="M167" s="1"/>
      <c r="N167" s="5">
        <f t="shared" si="73"/>
        <v>0.35848871808743837</v>
      </c>
      <c r="O167" s="14"/>
      <c r="P167" s="1">
        <f>SUM(OSRRefP22_12x_0)</f>
        <v>23302.32</v>
      </c>
      <c r="Q167" s="1"/>
      <c r="R167" s="5">
        <f t="shared" si="74"/>
        <v>7.9890642039997326E-3</v>
      </c>
      <c r="S167" s="1"/>
      <c r="T167" s="1">
        <f>SUM(OSRRefT22_12x_0)</f>
        <v>17153.12</v>
      </c>
      <c r="U167" s="1"/>
      <c r="V167" s="5">
        <f t="shared" si="75"/>
        <v>7.2787676319995571E-3</v>
      </c>
      <c r="W167" s="1"/>
      <c r="X167" s="1">
        <f t="shared" si="76"/>
        <v>6149.2000000000007</v>
      </c>
      <c r="Y167" s="1"/>
      <c r="Z167" s="5">
        <f t="shared" si="77"/>
        <v>0.35848871808743837</v>
      </c>
    </row>
    <row r="168" spans="1:26" s="24" customFormat="1" hidden="1" outlineLevel="2" x14ac:dyDescent="0.25">
      <c r="A168" s="29"/>
      <c r="B168" s="11" t="str">
        <f>CONCATENATE("          ", "6314", " - ", "LIABILITY INSURANCE")</f>
        <v xml:space="preserve">          6314 - LIABILITY INSURANCE</v>
      </c>
      <c r="C168" s="11"/>
      <c r="D168" s="6">
        <v>5825.58</v>
      </c>
      <c r="E168" s="2"/>
      <c r="F168" s="7">
        <f t="shared" si="70"/>
        <v>1.0109399536985276E-2</v>
      </c>
      <c r="G168" s="2"/>
      <c r="H168" s="6">
        <v>4288.28</v>
      </c>
      <c r="I168" s="2"/>
      <c r="J168" s="7">
        <f t="shared" si="71"/>
        <v>2.6783498719591261E-2</v>
      </c>
      <c r="K168" s="2"/>
      <c r="L168" s="6">
        <f t="shared" si="72"/>
        <v>1537.3000000000002</v>
      </c>
      <c r="M168" s="2"/>
      <c r="N168" s="7">
        <f t="shared" si="73"/>
        <v>0.35848871808743837</v>
      </c>
      <c r="O168" s="11"/>
      <c r="P168" s="6">
        <v>23302.32</v>
      </c>
      <c r="Q168" s="2"/>
      <c r="R168" s="7">
        <f t="shared" si="74"/>
        <v>7.9890642039997326E-3</v>
      </c>
      <c r="S168" s="2"/>
      <c r="T168" s="6">
        <v>17153.12</v>
      </c>
      <c r="U168" s="2"/>
      <c r="V168" s="7">
        <f t="shared" si="75"/>
        <v>7.2787676319995571E-3</v>
      </c>
      <c r="W168" s="2"/>
      <c r="X168" s="6">
        <f t="shared" si="76"/>
        <v>6149.2000000000007</v>
      </c>
      <c r="Y168" s="2"/>
      <c r="Z168" s="7">
        <f t="shared" si="77"/>
        <v>0.35848871808743837</v>
      </c>
    </row>
    <row r="169" spans="1:26" s="28" customFormat="1" outlineLevel="1" collapsed="1" x14ac:dyDescent="0.25">
      <c r="A169" s="27"/>
      <c r="B169" s="14" t="str">
        <f>CONCATENATE("     ","Interest                                          ")</f>
        <v xml:space="preserve">     Interest                                          </v>
      </c>
      <c r="C169" s="14"/>
      <c r="D169" s="1">
        <f>SUM(OSRRefD22_13x_0)</f>
        <v>3629</v>
      </c>
      <c r="E169" s="1"/>
      <c r="F169" s="5">
        <f t="shared" si="70"/>
        <v>6.2975722451188657E-3</v>
      </c>
      <c r="G169" s="1"/>
      <c r="H169" s="1">
        <f>SUM(OSRRefH22_13x_0)</f>
        <v>3781.85</v>
      </c>
      <c r="I169" s="1"/>
      <c r="J169" s="5">
        <f t="shared" si="71"/>
        <v>2.3620466628271993E-2</v>
      </c>
      <c r="K169" s="1"/>
      <c r="L169" s="1">
        <f t="shared" si="72"/>
        <v>-152.84999999999991</v>
      </c>
      <c r="M169" s="1"/>
      <c r="N169" s="5">
        <f t="shared" si="73"/>
        <v>-4.0416727263111948E-2</v>
      </c>
      <c r="O169" s="14"/>
      <c r="P169" s="1">
        <f>SUM(OSRRefP22_13x_0)</f>
        <v>15344</v>
      </c>
      <c r="Q169" s="1"/>
      <c r="R169" s="5">
        <f t="shared" si="74"/>
        <v>5.2606007104087438E-3</v>
      </c>
      <c r="S169" s="1"/>
      <c r="T169" s="1">
        <f>SUM(OSRRefT22_13x_0)</f>
        <v>15913.85</v>
      </c>
      <c r="U169" s="1"/>
      <c r="V169" s="5">
        <f t="shared" si="75"/>
        <v>6.7528948832921449E-3</v>
      </c>
      <c r="W169" s="1"/>
      <c r="X169" s="1">
        <f t="shared" si="76"/>
        <v>-569.85000000000036</v>
      </c>
      <c r="Y169" s="1"/>
      <c r="Z169" s="5">
        <f t="shared" si="77"/>
        <v>-3.580843102077752E-2</v>
      </c>
    </row>
    <row r="170" spans="1:26" s="24" customFormat="1" hidden="1" outlineLevel="2" x14ac:dyDescent="0.25">
      <c r="A170" s="29"/>
      <c r="B170" s="11" t="str">
        <f>CONCATENATE("          ", "6401", " - ", "INTEREST EXPENSE")</f>
        <v xml:space="preserve">          6401 - INTEREST EXPENSE</v>
      </c>
      <c r="C170" s="11"/>
      <c r="D170" s="6">
        <v>3629</v>
      </c>
      <c r="E170" s="2"/>
      <c r="F170" s="7">
        <f t="shared" si="70"/>
        <v>6.2975722451188657E-3</v>
      </c>
      <c r="G170" s="2"/>
      <c r="H170" s="6">
        <v>3781.85</v>
      </c>
      <c r="I170" s="2"/>
      <c r="J170" s="7">
        <f t="shared" si="71"/>
        <v>2.3620466628271993E-2</v>
      </c>
      <c r="K170" s="2"/>
      <c r="L170" s="6">
        <f t="shared" si="72"/>
        <v>-152.84999999999991</v>
      </c>
      <c r="M170" s="2"/>
      <c r="N170" s="7">
        <f t="shared" si="73"/>
        <v>-4.0416727263111948E-2</v>
      </c>
      <c r="O170" s="11"/>
      <c r="P170" s="6">
        <v>15344</v>
      </c>
      <c r="Q170" s="2"/>
      <c r="R170" s="7">
        <f t="shared" si="74"/>
        <v>5.2606007104087438E-3</v>
      </c>
      <c r="S170" s="2"/>
      <c r="T170" s="6">
        <v>15913.85</v>
      </c>
      <c r="U170" s="2"/>
      <c r="V170" s="7">
        <f t="shared" si="75"/>
        <v>6.7528948832921449E-3</v>
      </c>
      <c r="W170" s="2"/>
      <c r="X170" s="6">
        <f t="shared" si="76"/>
        <v>-569.85000000000036</v>
      </c>
      <c r="Y170" s="2"/>
      <c r="Z170" s="7">
        <f t="shared" si="77"/>
        <v>-3.580843102077752E-2</v>
      </c>
    </row>
    <row r="171" spans="1:26" s="28" customFormat="1" outlineLevel="1" collapsed="1" x14ac:dyDescent="0.25">
      <c r="A171" s="27"/>
      <c r="B171" s="14" t="str">
        <f>CONCATENATE("     ","Inventory Adjustment                              ")</f>
        <v xml:space="preserve">     Inventory Adjustment                              </v>
      </c>
      <c r="C171" s="14"/>
      <c r="D171" s="1">
        <f>SUM(OSRRefD22_14x_0)</f>
        <v>5100</v>
      </c>
      <c r="E171" s="1"/>
      <c r="F171" s="5">
        <f t="shared" si="70"/>
        <v>8.8502668641791717E-3</v>
      </c>
      <c r="G171" s="1"/>
      <c r="H171" s="1">
        <f>SUM(OSRRefH22_14x_0)</f>
        <v>2100</v>
      </c>
      <c r="I171" s="1"/>
      <c r="J171" s="5">
        <f t="shared" si="71"/>
        <v>1.3116062223348674E-2</v>
      </c>
      <c r="K171" s="1"/>
      <c r="L171" s="1">
        <f t="shared" si="72"/>
        <v>3000</v>
      </c>
      <c r="M171" s="1"/>
      <c r="N171" s="5">
        <f t="shared" si="73"/>
        <v>1.4285714285714286</v>
      </c>
      <c r="O171" s="14"/>
      <c r="P171" s="1">
        <f>SUM(OSRRefP22_14x_0)</f>
        <v>20400</v>
      </c>
      <c r="Q171" s="1"/>
      <c r="R171" s="5">
        <f t="shared" si="74"/>
        <v>6.9940207567999466E-3</v>
      </c>
      <c r="S171" s="1"/>
      <c r="T171" s="1">
        <f>SUM(OSRRefT22_14x_0)</f>
        <v>8400</v>
      </c>
      <c r="U171" s="1"/>
      <c r="V171" s="5">
        <f t="shared" si="75"/>
        <v>3.5644622149670893E-3</v>
      </c>
      <c r="W171" s="1"/>
      <c r="X171" s="1">
        <f t="shared" si="76"/>
        <v>12000</v>
      </c>
      <c r="Y171" s="1"/>
      <c r="Z171" s="5">
        <f t="shared" si="77"/>
        <v>1.4285714285714286</v>
      </c>
    </row>
    <row r="172" spans="1:26" s="24" customFormat="1" hidden="1" outlineLevel="2" x14ac:dyDescent="0.25">
      <c r="A172" s="29"/>
      <c r="B172" s="11" t="str">
        <f>CONCATENATE("          ", "6408", " - ", "INVENTORY ADJUSTMENT")</f>
        <v xml:space="preserve">          6408 - INVENTORY ADJUSTMENT</v>
      </c>
      <c r="C172" s="11"/>
      <c r="D172" s="6">
        <v>5100</v>
      </c>
      <c r="E172" s="2"/>
      <c r="F172" s="7">
        <f t="shared" si="70"/>
        <v>8.8502668641791717E-3</v>
      </c>
      <c r="G172" s="2"/>
      <c r="H172" s="6">
        <v>2100</v>
      </c>
      <c r="I172" s="2"/>
      <c r="J172" s="7">
        <f t="shared" si="71"/>
        <v>1.3116062223348674E-2</v>
      </c>
      <c r="K172" s="2"/>
      <c r="L172" s="6">
        <f t="shared" si="72"/>
        <v>3000</v>
      </c>
      <c r="M172" s="2"/>
      <c r="N172" s="7">
        <f t="shared" si="73"/>
        <v>1.4285714285714286</v>
      </c>
      <c r="O172" s="11"/>
      <c r="P172" s="6">
        <v>20400</v>
      </c>
      <c r="Q172" s="2"/>
      <c r="R172" s="7">
        <f t="shared" si="74"/>
        <v>6.9940207567999466E-3</v>
      </c>
      <c r="S172" s="2"/>
      <c r="T172" s="6">
        <v>8400</v>
      </c>
      <c r="U172" s="2"/>
      <c r="V172" s="7">
        <f t="shared" si="75"/>
        <v>3.5644622149670893E-3</v>
      </c>
      <c r="W172" s="2"/>
      <c r="X172" s="6">
        <f t="shared" si="76"/>
        <v>12000</v>
      </c>
      <c r="Y172" s="2"/>
      <c r="Z172" s="7">
        <f t="shared" si="77"/>
        <v>1.4285714285714286</v>
      </c>
    </row>
    <row r="173" spans="1:26" s="24" customFormat="1" hidden="1" outlineLevel="2" x14ac:dyDescent="0.25">
      <c r="A173" s="29"/>
      <c r="B173" s="11" t="str">
        <f>CONCATENATE("          ", "7741", " - ", "INV. SHRINKAGE-LOGO GIFTS")</f>
        <v xml:space="preserve">          7741 - INV. SHRINKAGE-LOGO GIFTS</v>
      </c>
      <c r="C173" s="11"/>
      <c r="D173" s="6"/>
      <c r="E173" s="2"/>
      <c r="F173" s="7">
        <f t="shared" si="70"/>
        <v>0</v>
      </c>
      <c r="G173" s="2"/>
      <c r="H173" s="6"/>
      <c r="I173" s="2"/>
      <c r="J173" s="7">
        <f t="shared" si="71"/>
        <v>0</v>
      </c>
      <c r="K173" s="2"/>
      <c r="L173" s="6">
        <f t="shared" si="72"/>
        <v>0</v>
      </c>
      <c r="M173" s="2"/>
      <c r="N173" s="7">
        <f t="shared" si="73"/>
        <v>0</v>
      </c>
      <c r="O173" s="11"/>
      <c r="P173" s="6"/>
      <c r="Q173" s="2"/>
      <c r="R173" s="7">
        <f t="shared" si="74"/>
        <v>0</v>
      </c>
      <c r="S173" s="2"/>
      <c r="T173" s="6">
        <v>0</v>
      </c>
      <c r="U173" s="2"/>
      <c r="V173" s="7">
        <f t="shared" si="75"/>
        <v>0</v>
      </c>
      <c r="W173" s="2"/>
      <c r="X173" s="6">
        <f t="shared" si="76"/>
        <v>0</v>
      </c>
      <c r="Y173" s="2"/>
      <c r="Z173" s="7">
        <f t="shared" si="77"/>
        <v>0</v>
      </c>
    </row>
    <row r="174" spans="1:26" s="28" customFormat="1" outlineLevel="1" collapsed="1" x14ac:dyDescent="0.25">
      <c r="A174" s="27"/>
      <c r="B174" s="14" t="str">
        <f>CONCATENATE("     ","Professional Services                             ")</f>
        <v xml:space="preserve">     Professional Services                             </v>
      </c>
      <c r="C174" s="14"/>
      <c r="D174" s="1">
        <f>SUM(OSRRefD22_15x_0)</f>
        <v>8186.53</v>
      </c>
      <c r="E174" s="1"/>
      <c r="F174" s="5">
        <f t="shared" ref="F174:F182" si="78">IF(D$12=0,0,D174/D$12)</f>
        <v>1.4206465723844847E-2</v>
      </c>
      <c r="G174" s="1"/>
      <c r="H174" s="1">
        <f>SUM(OSRRefH22_15x_0)</f>
        <v>0</v>
      </c>
      <c r="I174" s="1"/>
      <c r="J174" s="5">
        <f t="shared" ref="J174:J182" si="79">IF(H$12=0,0,H174/H$12)</f>
        <v>0</v>
      </c>
      <c r="K174" s="1"/>
      <c r="L174" s="1">
        <f t="shared" ref="L174:L182" si="80">+D174-H174</f>
        <v>8186.53</v>
      </c>
      <c r="M174" s="1"/>
      <c r="N174" s="5">
        <f t="shared" ref="N174:N182" si="81">IF(H174=0,0,L174/H174)</f>
        <v>0</v>
      </c>
      <c r="O174" s="14"/>
      <c r="P174" s="1">
        <f>SUM(OSRRefP22_15x_0)</f>
        <v>8186.53</v>
      </c>
      <c r="Q174" s="1"/>
      <c r="R174" s="5">
        <f t="shared" ref="R174:R182" si="82">IF(P$12=0,0,P174/P$12)</f>
        <v>2.8067039581453658E-3</v>
      </c>
      <c r="S174" s="1"/>
      <c r="T174" s="1">
        <f>SUM(OSRRefT22_15x_0)</f>
        <v>0</v>
      </c>
      <c r="U174" s="1"/>
      <c r="V174" s="5">
        <f t="shared" ref="V174:V182" si="83">IF(T$12=0,0,T174/T$12)</f>
        <v>0</v>
      </c>
      <c r="W174" s="1"/>
      <c r="X174" s="1">
        <f t="shared" ref="X174:X182" si="84">+P174-T174</f>
        <v>8186.53</v>
      </c>
      <c r="Y174" s="1"/>
      <c r="Z174" s="5">
        <f t="shared" ref="Z174:Z182" si="85">IF(T174=0,0,X174/T174)</f>
        <v>0</v>
      </c>
    </row>
    <row r="175" spans="1:26" s="24" customFormat="1" hidden="1" outlineLevel="2" x14ac:dyDescent="0.25">
      <c r="A175" s="29"/>
      <c r="B175" s="11" t="str">
        <f>CONCATENATE("          ", "6336", " - ", "PROFESSIONAL SERVICES")</f>
        <v xml:space="preserve">          6336 - PROFESSIONAL SERVICES</v>
      </c>
      <c r="C175" s="11"/>
      <c r="D175" s="6">
        <v>8186.53</v>
      </c>
      <c r="E175" s="2"/>
      <c r="F175" s="7">
        <f t="shared" si="78"/>
        <v>1.4206465723844847E-2</v>
      </c>
      <c r="G175" s="2"/>
      <c r="H175" s="6"/>
      <c r="I175" s="2"/>
      <c r="J175" s="7">
        <f t="shared" si="79"/>
        <v>0</v>
      </c>
      <c r="K175" s="2"/>
      <c r="L175" s="6">
        <f t="shared" si="80"/>
        <v>8186.53</v>
      </c>
      <c r="M175" s="2"/>
      <c r="N175" s="7">
        <f t="shared" si="81"/>
        <v>0</v>
      </c>
      <c r="O175" s="11"/>
      <c r="P175" s="6">
        <v>8186.53</v>
      </c>
      <c r="Q175" s="2"/>
      <c r="R175" s="7">
        <f t="shared" si="82"/>
        <v>2.8067039581453658E-3</v>
      </c>
      <c r="S175" s="2"/>
      <c r="T175" s="6"/>
      <c r="U175" s="2"/>
      <c r="V175" s="7">
        <f t="shared" si="83"/>
        <v>0</v>
      </c>
      <c r="W175" s="2"/>
      <c r="X175" s="6">
        <f t="shared" si="84"/>
        <v>8186.53</v>
      </c>
      <c r="Y175" s="2"/>
      <c r="Z175" s="7">
        <f t="shared" si="85"/>
        <v>0</v>
      </c>
    </row>
    <row r="176" spans="1:26" s="28" customFormat="1" outlineLevel="1" collapsed="1" x14ac:dyDescent="0.25">
      <c r="A176" s="27"/>
      <c r="B176" s="14" t="str">
        <f>CONCATENATE("     ","Rent                                              ")</f>
        <v xml:space="preserve">     Rent                                              </v>
      </c>
      <c r="C176" s="14"/>
      <c r="D176" s="1">
        <f>SUM(OSRRefD22_16x_0)</f>
        <v>6100</v>
      </c>
      <c r="E176" s="1"/>
      <c r="F176" s="5">
        <f t="shared" si="78"/>
        <v>1.0585613308135873E-2</v>
      </c>
      <c r="G176" s="1"/>
      <c r="H176" s="1">
        <f>SUM(OSRRefH22_16x_0)</f>
        <v>6100</v>
      </c>
      <c r="I176" s="1"/>
      <c r="J176" s="5">
        <f t="shared" si="79"/>
        <v>3.8099037886869962E-2</v>
      </c>
      <c r="K176" s="1"/>
      <c r="L176" s="1">
        <f t="shared" si="80"/>
        <v>0</v>
      </c>
      <c r="M176" s="1"/>
      <c r="N176" s="5">
        <f t="shared" si="81"/>
        <v>0</v>
      </c>
      <c r="O176" s="14"/>
      <c r="P176" s="1">
        <f>SUM(OSRRefP22_16x_0)</f>
        <v>24400</v>
      </c>
      <c r="Q176" s="1"/>
      <c r="R176" s="5">
        <f t="shared" si="82"/>
        <v>8.3653973757803288E-3</v>
      </c>
      <c r="S176" s="1"/>
      <c r="T176" s="1">
        <f>SUM(OSRRefT22_16x_0)</f>
        <v>24400</v>
      </c>
      <c r="U176" s="1"/>
      <c r="V176" s="5">
        <f t="shared" si="83"/>
        <v>1.0353914052999642E-2</v>
      </c>
      <c r="W176" s="1"/>
      <c r="X176" s="1">
        <f t="shared" si="84"/>
        <v>0</v>
      </c>
      <c r="Y176" s="1"/>
      <c r="Z176" s="5">
        <f t="shared" si="85"/>
        <v>0</v>
      </c>
    </row>
    <row r="177" spans="1:26" s="24" customFormat="1" hidden="1" outlineLevel="2" x14ac:dyDescent="0.25">
      <c r="A177" s="29"/>
      <c r="B177" s="11" t="str">
        <f>CONCATENATE("          ", "6273", " - ", "RENT")</f>
        <v xml:space="preserve">          6273 - RENT</v>
      </c>
      <c r="C177" s="11"/>
      <c r="D177" s="6">
        <v>6100</v>
      </c>
      <c r="E177" s="2"/>
      <c r="F177" s="7">
        <f t="shared" si="78"/>
        <v>1.0585613308135873E-2</v>
      </c>
      <c r="G177" s="2"/>
      <c r="H177" s="6">
        <v>6100</v>
      </c>
      <c r="I177" s="2"/>
      <c r="J177" s="7">
        <f t="shared" si="79"/>
        <v>3.8099037886869962E-2</v>
      </c>
      <c r="K177" s="2"/>
      <c r="L177" s="6">
        <f t="shared" si="80"/>
        <v>0</v>
      </c>
      <c r="M177" s="2"/>
      <c r="N177" s="7">
        <f t="shared" si="81"/>
        <v>0</v>
      </c>
      <c r="O177" s="11"/>
      <c r="P177" s="6">
        <v>24400</v>
      </c>
      <c r="Q177" s="2"/>
      <c r="R177" s="7">
        <f t="shared" si="82"/>
        <v>8.3653973757803288E-3</v>
      </c>
      <c r="S177" s="2"/>
      <c r="T177" s="6">
        <v>24400</v>
      </c>
      <c r="U177" s="2"/>
      <c r="V177" s="7">
        <f t="shared" si="83"/>
        <v>1.0353914052999642E-2</v>
      </c>
      <c r="W177" s="2"/>
      <c r="X177" s="6">
        <f t="shared" si="84"/>
        <v>0</v>
      </c>
      <c r="Y177" s="2"/>
      <c r="Z177" s="7">
        <f t="shared" si="85"/>
        <v>0</v>
      </c>
    </row>
    <row r="178" spans="1:26" s="28" customFormat="1" outlineLevel="1" collapsed="1" x14ac:dyDescent="0.25">
      <c r="A178" s="27"/>
      <c r="B178" s="14" t="str">
        <f>CONCATENATE("     ","Repair and Maintenance                            ")</f>
        <v xml:space="preserve">     Repair and Maintenance                            </v>
      </c>
      <c r="C178" s="14"/>
      <c r="D178" s="1">
        <f>SUM(OSRRefD22_17x_0)</f>
        <v>12607.279999999999</v>
      </c>
      <c r="E178" s="1"/>
      <c r="F178" s="5">
        <f t="shared" si="78"/>
        <v>2.1877998515966428E-2</v>
      </c>
      <c r="G178" s="1"/>
      <c r="H178" s="1">
        <f>SUM(OSRRefH22_17x_0)</f>
        <v>11574.119999999999</v>
      </c>
      <c r="I178" s="1"/>
      <c r="J178" s="5">
        <f t="shared" si="79"/>
        <v>7.2288989571668738E-2</v>
      </c>
      <c r="K178" s="1"/>
      <c r="L178" s="1">
        <f t="shared" si="80"/>
        <v>1033.1599999999999</v>
      </c>
      <c r="M178" s="1"/>
      <c r="N178" s="5">
        <f t="shared" si="81"/>
        <v>8.9264669797790241E-2</v>
      </c>
      <c r="O178" s="14"/>
      <c r="P178" s="1">
        <f>SUM(OSRRefP22_17x_0)</f>
        <v>91822.26999999999</v>
      </c>
      <c r="Q178" s="1"/>
      <c r="R178" s="5">
        <f t="shared" si="82"/>
        <v>3.148072854492593E-2</v>
      </c>
      <c r="S178" s="1"/>
      <c r="T178" s="1">
        <f>SUM(OSRRefT22_17x_0)</f>
        <v>99053.099999999991</v>
      </c>
      <c r="U178" s="1"/>
      <c r="V178" s="5">
        <f t="shared" si="83"/>
        <v>4.2032265741113878E-2</v>
      </c>
      <c r="W178" s="1"/>
      <c r="X178" s="1">
        <f t="shared" si="84"/>
        <v>-7230.8300000000017</v>
      </c>
      <c r="Y178" s="1"/>
      <c r="Z178" s="5">
        <f t="shared" si="85"/>
        <v>-7.2999532573942691E-2</v>
      </c>
    </row>
    <row r="179" spans="1:26" s="24" customFormat="1" hidden="1" outlineLevel="2" x14ac:dyDescent="0.25">
      <c r="A179" s="29"/>
      <c r="B179" s="11" t="str">
        <f>CONCATENATE("          ", "6371", " - ", "COMPUTER SOFTWARE MAINTENANCE")</f>
        <v xml:space="preserve">          6371 - COMPUTER SOFTWARE MAINTENANCE</v>
      </c>
      <c r="C179" s="11"/>
      <c r="D179" s="6">
        <v>2887.5</v>
      </c>
      <c r="E179" s="2"/>
      <c r="F179" s="7">
        <f t="shared" si="78"/>
        <v>5.0108128569249727E-3</v>
      </c>
      <c r="G179" s="2"/>
      <c r="H179" s="6">
        <v>7.69</v>
      </c>
      <c r="I179" s="2"/>
      <c r="J179" s="7">
        <f t="shared" si="79"/>
        <v>4.8029770713119671E-5</v>
      </c>
      <c r="K179" s="2"/>
      <c r="L179" s="6">
        <f t="shared" si="80"/>
        <v>2879.81</v>
      </c>
      <c r="M179" s="2"/>
      <c r="N179" s="7">
        <f t="shared" si="81"/>
        <v>374.48764629388813</v>
      </c>
      <c r="O179" s="11"/>
      <c r="P179" s="6">
        <v>62511</v>
      </c>
      <c r="Q179" s="2"/>
      <c r="R179" s="7">
        <f t="shared" si="82"/>
        <v>2.1431530957270659E-2</v>
      </c>
      <c r="S179" s="2"/>
      <c r="T179" s="6">
        <v>58436.47</v>
      </c>
      <c r="U179" s="2"/>
      <c r="V179" s="7">
        <f t="shared" si="83"/>
        <v>2.4796974915602128E-2</v>
      </c>
      <c r="W179" s="2"/>
      <c r="X179" s="6">
        <f t="shared" si="84"/>
        <v>4074.5299999999988</v>
      </c>
      <c r="Y179" s="2"/>
      <c r="Z179" s="7">
        <f t="shared" si="85"/>
        <v>6.972580650405473E-2</v>
      </c>
    </row>
    <row r="180" spans="1:26" s="24" customFormat="1" hidden="1" outlineLevel="2" x14ac:dyDescent="0.25">
      <c r="A180" s="29"/>
      <c r="B180" s="11" t="str">
        <f>CONCATENATE("          ", "6372", " - ", "COMPUTER HARDWARE MAINTENANCE")</f>
        <v xml:space="preserve">          6372 - COMPUTER HARDWARE MAINTENANCE</v>
      </c>
      <c r="C180" s="11"/>
      <c r="D180" s="6"/>
      <c r="E180" s="2"/>
      <c r="F180" s="7">
        <f t="shared" si="78"/>
        <v>0</v>
      </c>
      <c r="G180" s="2"/>
      <c r="H180" s="6">
        <v>8.11</v>
      </c>
      <c r="I180" s="2"/>
      <c r="J180" s="7">
        <f t="shared" si="79"/>
        <v>5.0652983157789402E-5</v>
      </c>
      <c r="K180" s="2"/>
      <c r="L180" s="6">
        <f t="shared" si="80"/>
        <v>-8.11</v>
      </c>
      <c r="M180" s="2"/>
      <c r="N180" s="7">
        <f t="shared" si="81"/>
        <v>-1</v>
      </c>
      <c r="O180" s="11"/>
      <c r="P180" s="6"/>
      <c r="Q180" s="2"/>
      <c r="R180" s="7">
        <f t="shared" si="82"/>
        <v>0</v>
      </c>
      <c r="S180" s="2"/>
      <c r="T180" s="6">
        <v>0</v>
      </c>
      <c r="U180" s="2"/>
      <c r="V180" s="7">
        <f t="shared" si="83"/>
        <v>0</v>
      </c>
      <c r="W180" s="2"/>
      <c r="X180" s="6">
        <f t="shared" si="84"/>
        <v>0</v>
      </c>
      <c r="Y180" s="2"/>
      <c r="Z180" s="7">
        <f t="shared" si="85"/>
        <v>0</v>
      </c>
    </row>
    <row r="181" spans="1:26" s="24" customFormat="1" hidden="1" outlineLevel="2" x14ac:dyDescent="0.25">
      <c r="A181" s="29"/>
      <c r="B181" s="11" t="str">
        <f>CONCATENATE("          ", "6373", " - ", "MAINTENANCE CONTRACTS")</f>
        <v xml:space="preserve">          6373 - MAINTENANCE CONTRACTS</v>
      </c>
      <c r="C181" s="11"/>
      <c r="D181" s="6">
        <v>3962.92</v>
      </c>
      <c r="E181" s="2"/>
      <c r="F181" s="7">
        <f t="shared" si="78"/>
        <v>6.8770391296848876E-3</v>
      </c>
      <c r="G181" s="2"/>
      <c r="H181" s="6">
        <v>5396.67</v>
      </c>
      <c r="I181" s="2"/>
      <c r="J181" s="7">
        <f t="shared" si="79"/>
        <v>3.3706218818513857E-2</v>
      </c>
      <c r="K181" s="2"/>
      <c r="L181" s="6">
        <f t="shared" si="80"/>
        <v>-1433.75</v>
      </c>
      <c r="M181" s="2"/>
      <c r="N181" s="7">
        <f t="shared" si="81"/>
        <v>-0.26567309099870845</v>
      </c>
      <c r="O181" s="11"/>
      <c r="P181" s="6">
        <v>12270.31</v>
      </c>
      <c r="Q181" s="2"/>
      <c r="R181" s="7">
        <f t="shared" si="82"/>
        <v>4.206804060410292E-3</v>
      </c>
      <c r="S181" s="2"/>
      <c r="T181" s="6">
        <v>31240.87</v>
      </c>
      <c r="U181" s="2"/>
      <c r="V181" s="7">
        <f t="shared" si="83"/>
        <v>1.325677389020225E-2</v>
      </c>
      <c r="W181" s="2"/>
      <c r="X181" s="6">
        <f t="shared" si="84"/>
        <v>-18970.559999999998</v>
      </c>
      <c r="Y181" s="2"/>
      <c r="Z181" s="7">
        <f t="shared" si="85"/>
        <v>-0.60723532987397588</v>
      </c>
    </row>
    <row r="182" spans="1:26" s="24" customFormat="1" hidden="1" outlineLevel="2" x14ac:dyDescent="0.25">
      <c r="A182" s="29"/>
      <c r="B182" s="11" t="str">
        <f>CONCATENATE("          ", "6375", " - ", "OUTSIDE REPAIRS &amp; MAINTENANCE")</f>
        <v xml:space="preserve">          6375 - OUTSIDE REPAIRS &amp; MAINTENANCE</v>
      </c>
      <c r="C182" s="11"/>
      <c r="D182" s="6">
        <v>5756.86</v>
      </c>
      <c r="E182" s="2"/>
      <c r="F182" s="7">
        <f t="shared" si="78"/>
        <v>9.9901465293565691E-3</v>
      </c>
      <c r="G182" s="2"/>
      <c r="H182" s="6">
        <v>6161.65</v>
      </c>
      <c r="I182" s="2"/>
      <c r="J182" s="7">
        <f t="shared" si="79"/>
        <v>3.8484087999283982E-2</v>
      </c>
      <c r="K182" s="2"/>
      <c r="L182" s="6">
        <f t="shared" si="80"/>
        <v>-404.78999999999996</v>
      </c>
      <c r="M182" s="2"/>
      <c r="N182" s="7">
        <f t="shared" si="81"/>
        <v>-6.5695065445132386E-2</v>
      </c>
      <c r="O182" s="11"/>
      <c r="P182" s="6">
        <v>17040.96</v>
      </c>
      <c r="Q182" s="2"/>
      <c r="R182" s="7">
        <f t="shared" si="82"/>
        <v>5.8423935272449807E-3</v>
      </c>
      <c r="S182" s="2"/>
      <c r="T182" s="6">
        <v>9375.76</v>
      </c>
      <c r="U182" s="2"/>
      <c r="V182" s="7">
        <f t="shared" si="83"/>
        <v>3.9785169353095048E-3</v>
      </c>
      <c r="W182" s="2"/>
      <c r="X182" s="6">
        <f t="shared" si="84"/>
        <v>7665.1999999999989</v>
      </c>
      <c r="Y182" s="2"/>
      <c r="Z182" s="7">
        <f t="shared" si="85"/>
        <v>0.81755505687005625</v>
      </c>
    </row>
    <row r="183" spans="1:26" s="28" customFormat="1" outlineLevel="1" collapsed="1" x14ac:dyDescent="0.25">
      <c r="A183" s="27"/>
      <c r="B183" s="14" t="str">
        <f>CONCATENATE("     ","Royalty &amp; Commissions                             ")</f>
        <v xml:space="preserve">     Royalty &amp; Commissions                             </v>
      </c>
      <c r="C183" s="14"/>
      <c r="D183" s="1">
        <f>SUM(OSRRefD22_18x_0)</f>
        <v>10709.72</v>
      </c>
      <c r="E183" s="1"/>
      <c r="F183" s="5">
        <f t="shared" ref="F183:F186" si="86">IF(D$12=0,0,D183/D$12)</f>
        <v>1.8585074517771954E-2</v>
      </c>
      <c r="G183" s="1"/>
      <c r="H183" s="1">
        <f>SUM(OSRRefH22_18x_0)</f>
        <v>10995.7</v>
      </c>
      <c r="I183" s="1"/>
      <c r="J183" s="5">
        <f t="shared" ref="J183:J186" si="87">IF(H$12=0,0,H183/H$12)</f>
        <v>6.8676326375845254E-2</v>
      </c>
      <c r="K183" s="1"/>
      <c r="L183" s="1">
        <f t="shared" ref="L183:L186" si="88">+D183-H183</f>
        <v>-285.98000000000138</v>
      </c>
      <c r="M183" s="1"/>
      <c r="N183" s="5">
        <f t="shared" ref="N183:N186" si="89">IF(H183=0,0,L183/H183)</f>
        <v>-2.6008348718135395E-2</v>
      </c>
      <c r="O183" s="14"/>
      <c r="P183" s="1">
        <f>SUM(OSRRefP22_18x_0)</f>
        <v>19840.93</v>
      </c>
      <c r="Q183" s="1"/>
      <c r="R183" s="5">
        <f t="shared" ref="R183:R186" si="90">IF(P$12=0,0,P183/P$12)</f>
        <v>6.8023468752066059E-3</v>
      </c>
      <c r="S183" s="1"/>
      <c r="T183" s="1">
        <f>SUM(OSRRefT22_18x_0)</f>
        <v>24302.7</v>
      </c>
      <c r="U183" s="1"/>
      <c r="V183" s="5">
        <f t="shared" ref="V183:V186" si="91">IF(T$12=0,0,T183/T$12)</f>
        <v>1.0312625699009606E-2</v>
      </c>
      <c r="W183" s="1"/>
      <c r="X183" s="1">
        <f t="shared" ref="X183:X186" si="92">+P183-T183</f>
        <v>-4461.7700000000004</v>
      </c>
      <c r="Y183" s="1"/>
      <c r="Z183" s="5">
        <f t="shared" ref="Z183:Z186" si="93">IF(T183=0,0,X183/T183)</f>
        <v>-0.18359153509692339</v>
      </c>
    </row>
    <row r="184" spans="1:26" s="24" customFormat="1" hidden="1" outlineLevel="2" x14ac:dyDescent="0.25">
      <c r="A184" s="29"/>
      <c r="B184" s="11" t="str">
        <f>CONCATENATE("          ", "6253", " - ", "ROYALTY DUE ATHLETICS-LRG")</f>
        <v xml:space="preserve">          6253 - ROYALTY DUE ATHLETICS-LRG</v>
      </c>
      <c r="C184" s="11"/>
      <c r="D184" s="6">
        <v>8783.75</v>
      </c>
      <c r="E184" s="2"/>
      <c r="F184" s="7">
        <f t="shared" si="86"/>
        <v>1.5242849327104667E-2</v>
      </c>
      <c r="G184" s="2"/>
      <c r="H184" s="6">
        <v>10489.6</v>
      </c>
      <c r="I184" s="2"/>
      <c r="J184" s="7">
        <f t="shared" si="87"/>
        <v>6.5515355380018223E-2</v>
      </c>
      <c r="K184" s="2"/>
      <c r="L184" s="6">
        <f t="shared" si="88"/>
        <v>-1705.8500000000004</v>
      </c>
      <c r="M184" s="2"/>
      <c r="N184" s="7">
        <f t="shared" si="89"/>
        <v>-0.16262297895057964</v>
      </c>
      <c r="O184" s="11"/>
      <c r="P184" s="6">
        <v>23160.29</v>
      </c>
      <c r="Q184" s="2"/>
      <c r="R184" s="7">
        <f t="shared" si="90"/>
        <v>7.9403700487012865E-3</v>
      </c>
      <c r="S184" s="2"/>
      <c r="T184" s="6">
        <v>18411.8</v>
      </c>
      <c r="U184" s="2"/>
      <c r="V184" s="7">
        <f t="shared" si="91"/>
        <v>7.8128768344679824E-3</v>
      </c>
      <c r="W184" s="2"/>
      <c r="X184" s="6">
        <f t="shared" si="92"/>
        <v>4748.4900000000016</v>
      </c>
      <c r="Y184" s="2"/>
      <c r="Z184" s="7">
        <f t="shared" si="93"/>
        <v>0.25790471328169989</v>
      </c>
    </row>
    <row r="185" spans="1:26" s="24" customFormat="1" hidden="1" outlineLevel="2" x14ac:dyDescent="0.25">
      <c r="A185" s="29"/>
      <c r="B185" s="11" t="str">
        <f>CONCATENATE("          ", "6254", " - ", "ROYALTY &amp; COMMISSIONS")</f>
        <v xml:space="preserve">          6254 - ROYALTY &amp; COMMISSIONS</v>
      </c>
      <c r="C185" s="11"/>
      <c r="D185" s="6"/>
      <c r="E185" s="2"/>
      <c r="F185" s="7">
        <f t="shared" si="86"/>
        <v>0</v>
      </c>
      <c r="G185" s="2"/>
      <c r="H185" s="6">
        <v>185.7</v>
      </c>
      <c r="I185" s="2"/>
      <c r="J185" s="7">
        <f t="shared" si="87"/>
        <v>1.1598346451789756E-3</v>
      </c>
      <c r="K185" s="2"/>
      <c r="L185" s="6">
        <f t="shared" si="88"/>
        <v>-185.7</v>
      </c>
      <c r="M185" s="2"/>
      <c r="N185" s="7">
        <f t="shared" si="89"/>
        <v>-1</v>
      </c>
      <c r="O185" s="11"/>
      <c r="P185" s="6">
        <v>-7027.5</v>
      </c>
      <c r="Q185" s="2"/>
      <c r="R185" s="7">
        <f t="shared" si="90"/>
        <v>-2.4093372974711581E-3</v>
      </c>
      <c r="S185" s="2"/>
      <c r="T185" s="6">
        <v>185.7</v>
      </c>
      <c r="U185" s="2"/>
      <c r="V185" s="7">
        <f t="shared" si="91"/>
        <v>7.8800075395165294E-5</v>
      </c>
      <c r="W185" s="2"/>
      <c r="X185" s="6">
        <f t="shared" si="92"/>
        <v>-7213.2</v>
      </c>
      <c r="Y185" s="2"/>
      <c r="Z185" s="7">
        <f t="shared" si="93"/>
        <v>-38.843295638126008</v>
      </c>
    </row>
    <row r="186" spans="1:26" s="24" customFormat="1" hidden="1" outlineLevel="2" x14ac:dyDescent="0.25">
      <c r="A186" s="29"/>
      <c r="B186" s="11" t="str">
        <f>CONCATENATE("          ", "6259", " - ", "ROYALTY &amp; COMMISSIONS")</f>
        <v xml:space="preserve">          6259 - ROYALTY &amp; COMMISSIONS</v>
      </c>
      <c r="C186" s="11"/>
      <c r="D186" s="6">
        <v>1925.97</v>
      </c>
      <c r="E186" s="2"/>
      <c r="F186" s="7">
        <f t="shared" si="86"/>
        <v>3.3422251906672865E-3</v>
      </c>
      <c r="G186" s="2"/>
      <c r="H186" s="6">
        <v>320.39999999999998</v>
      </c>
      <c r="I186" s="2"/>
      <c r="J186" s="7">
        <f t="shared" si="87"/>
        <v>2.0011363506480546E-3</v>
      </c>
      <c r="K186" s="2"/>
      <c r="L186" s="6">
        <f t="shared" si="88"/>
        <v>1605.5700000000002</v>
      </c>
      <c r="M186" s="2"/>
      <c r="N186" s="7">
        <f t="shared" si="89"/>
        <v>5.0111423220973794</v>
      </c>
      <c r="O186" s="11"/>
      <c r="P186" s="6">
        <v>3708.14</v>
      </c>
      <c r="Q186" s="2"/>
      <c r="R186" s="7">
        <f t="shared" si="90"/>
        <v>1.2713141239764781E-3</v>
      </c>
      <c r="S186" s="2"/>
      <c r="T186" s="6">
        <v>5705.2</v>
      </c>
      <c r="U186" s="2"/>
      <c r="V186" s="7">
        <f t="shared" si="91"/>
        <v>2.420948789146457E-3</v>
      </c>
      <c r="W186" s="2"/>
      <c r="X186" s="6">
        <f t="shared" si="92"/>
        <v>-1997.06</v>
      </c>
      <c r="Y186" s="2"/>
      <c r="Z186" s="7">
        <f t="shared" si="93"/>
        <v>-0.35004206688634931</v>
      </c>
    </row>
    <row r="187" spans="1:26" s="28" customFormat="1" outlineLevel="1" collapsed="1" x14ac:dyDescent="0.25">
      <c r="A187" s="27"/>
      <c r="B187" s="14" t="str">
        <f>CONCATENATE("     ","Services                                          ")</f>
        <v xml:space="preserve">     Services                                          </v>
      </c>
      <c r="C187" s="14"/>
      <c r="D187" s="1">
        <f>SUM(OSRRefD22_19x_0)</f>
        <v>5834.37</v>
      </c>
      <c r="E187" s="1"/>
      <c r="F187" s="5">
        <f t="shared" ref="F187:F192" si="94">IF(D$12=0,0,D187/D$12)</f>
        <v>1.0124653232227655E-2</v>
      </c>
      <c r="G187" s="1"/>
      <c r="H187" s="1">
        <f>SUM(OSRRefH22_19x_0)</f>
        <v>4526.42</v>
      </c>
      <c r="I187" s="1"/>
      <c r="J187" s="5">
        <f t="shared" ref="J187:J192" si="95">IF(H$12=0,0,H187/H$12)</f>
        <v>2.8270860175719004E-2</v>
      </c>
      <c r="K187" s="1"/>
      <c r="L187" s="1">
        <f t="shared" ref="L187:L192" si="96">+D187-H187</f>
        <v>1307.9499999999998</v>
      </c>
      <c r="M187" s="1"/>
      <c r="N187" s="5">
        <f t="shared" ref="N187:N192" si="97">IF(H187=0,0,L187/H187)</f>
        <v>0.28895904489640817</v>
      </c>
      <c r="O187" s="14"/>
      <c r="P187" s="1">
        <f>SUM(OSRRefP22_19x_0)</f>
        <v>35407</v>
      </c>
      <c r="Q187" s="1"/>
      <c r="R187" s="5">
        <f t="shared" ref="R187:R192" si="98">IF(P$12=0,0,P187/P$12)</f>
        <v>1.2139082987059594E-2</v>
      </c>
      <c r="S187" s="1"/>
      <c r="T187" s="1">
        <f>SUM(OSRRefT22_19x_0)</f>
        <v>11816.43</v>
      </c>
      <c r="U187" s="1"/>
      <c r="V187" s="5">
        <f t="shared" ref="V187:V192" si="99">IF(T$12=0,0,T187/T$12)</f>
        <v>5.0141926489051863E-3</v>
      </c>
      <c r="W187" s="1"/>
      <c r="X187" s="1">
        <f t="shared" ref="X187:X192" si="100">+P187-T187</f>
        <v>23590.57</v>
      </c>
      <c r="Y187" s="1"/>
      <c r="Z187" s="5">
        <f t="shared" ref="Z187:Z192" si="101">IF(T187=0,0,X187/T187)</f>
        <v>1.9964210848792741</v>
      </c>
    </row>
    <row r="188" spans="1:26" s="24" customFormat="1" hidden="1" outlineLevel="2" x14ac:dyDescent="0.25">
      <c r="A188" s="29"/>
      <c r="B188" s="11" t="str">
        <f>CONCATENATE("          ", "6282", " - ", "JANITORIAL/EXTERMINATOR EXPENS")</f>
        <v xml:space="preserve">          6282 - JANITORIAL/EXTERMINATOR EXPENS</v>
      </c>
      <c r="C188" s="11"/>
      <c r="D188" s="6">
        <v>1241.76</v>
      </c>
      <c r="E188" s="2"/>
      <c r="F188" s="7">
        <f t="shared" si="94"/>
        <v>2.1548838002476722E-3</v>
      </c>
      <c r="G188" s="2"/>
      <c r="H188" s="6">
        <v>4888.68</v>
      </c>
      <c r="I188" s="2"/>
      <c r="J188" s="7">
        <f t="shared" si="95"/>
        <v>3.0533443366685811E-2</v>
      </c>
      <c r="K188" s="2"/>
      <c r="L188" s="6">
        <f t="shared" si="96"/>
        <v>-3646.92</v>
      </c>
      <c r="M188" s="2"/>
      <c r="N188" s="7">
        <f t="shared" si="97"/>
        <v>-0.74599278332801489</v>
      </c>
      <c r="O188" s="11"/>
      <c r="P188" s="6">
        <v>3009.68</v>
      </c>
      <c r="Q188" s="2"/>
      <c r="R188" s="7">
        <f t="shared" si="98"/>
        <v>1.0318511956532187E-3</v>
      </c>
      <c r="S188" s="2"/>
      <c r="T188" s="6">
        <v>4903.46</v>
      </c>
      <c r="U188" s="2"/>
      <c r="V188" s="7">
        <f t="shared" si="99"/>
        <v>2.0807378443574434E-3</v>
      </c>
      <c r="W188" s="2"/>
      <c r="X188" s="6">
        <f t="shared" si="100"/>
        <v>-1893.7800000000002</v>
      </c>
      <c r="Y188" s="2"/>
      <c r="Z188" s="7">
        <f t="shared" si="101"/>
        <v>-0.3862130006158917</v>
      </c>
    </row>
    <row r="189" spans="1:26" s="24" customFormat="1" hidden="1" outlineLevel="2" x14ac:dyDescent="0.25">
      <c r="A189" s="29"/>
      <c r="B189" s="11" t="str">
        <f>CONCATENATE("          ", "6283", " - ", "PLANT SERVICE")</f>
        <v xml:space="preserve">          6283 - PLANT SERVICE</v>
      </c>
      <c r="C189" s="11"/>
      <c r="D189" s="6"/>
      <c r="E189" s="2"/>
      <c r="F189" s="7">
        <f t="shared" si="94"/>
        <v>0</v>
      </c>
      <c r="G189" s="2"/>
      <c r="H189" s="6"/>
      <c r="I189" s="2"/>
      <c r="J189" s="7">
        <f t="shared" si="95"/>
        <v>0</v>
      </c>
      <c r="K189" s="2"/>
      <c r="L189" s="6">
        <f t="shared" si="96"/>
        <v>0</v>
      </c>
      <c r="M189" s="2"/>
      <c r="N189" s="7">
        <f t="shared" si="97"/>
        <v>0</v>
      </c>
      <c r="O189" s="11"/>
      <c r="P189" s="6"/>
      <c r="Q189" s="2"/>
      <c r="R189" s="7">
        <f t="shared" si="98"/>
        <v>0</v>
      </c>
      <c r="S189" s="2"/>
      <c r="T189" s="6">
        <v>130</v>
      </c>
      <c r="U189" s="2"/>
      <c r="V189" s="7">
        <f t="shared" si="99"/>
        <v>5.5164296184014478E-5</v>
      </c>
      <c r="W189" s="2"/>
      <c r="X189" s="6">
        <f t="shared" si="100"/>
        <v>-130</v>
      </c>
      <c r="Y189" s="2"/>
      <c r="Z189" s="7">
        <f t="shared" si="101"/>
        <v>-1</v>
      </c>
    </row>
    <row r="190" spans="1:26" s="24" customFormat="1" hidden="1" outlineLevel="2" x14ac:dyDescent="0.25">
      <c r="A190" s="29"/>
      <c r="B190" s="11" t="str">
        <f>CONCATENATE("          ", "6284", " - ", "TRASH REMOVAL EXPENSE")</f>
        <v xml:space="preserve">          6284 - TRASH REMOVAL EXPENSE</v>
      </c>
      <c r="C190" s="11"/>
      <c r="D190" s="6">
        <v>149.69999999999999</v>
      </c>
      <c r="E190" s="2"/>
      <c r="F190" s="7">
        <f t="shared" si="94"/>
        <v>2.5978136266031806E-4</v>
      </c>
      <c r="G190" s="2"/>
      <c r="H190" s="6">
        <v>157.59</v>
      </c>
      <c r="I190" s="2"/>
      <c r="J190" s="7">
        <f t="shared" si="95"/>
        <v>9.8426678370357981E-4</v>
      </c>
      <c r="K190" s="2"/>
      <c r="L190" s="6">
        <f t="shared" si="96"/>
        <v>-7.8900000000000148</v>
      </c>
      <c r="M190" s="2"/>
      <c r="N190" s="7">
        <f t="shared" si="97"/>
        <v>-5.0066628593184941E-2</v>
      </c>
      <c r="O190" s="11"/>
      <c r="P190" s="6">
        <v>591.66999999999996</v>
      </c>
      <c r="Q190" s="2"/>
      <c r="R190" s="7">
        <f t="shared" si="98"/>
        <v>2.028506010380306E-4</v>
      </c>
      <c r="S190" s="2"/>
      <c r="T190" s="6">
        <v>585.29999999999995</v>
      </c>
      <c r="U190" s="2"/>
      <c r="V190" s="7">
        <f t="shared" si="99"/>
        <v>2.4836663505002827E-4</v>
      </c>
      <c r="W190" s="2"/>
      <c r="X190" s="6">
        <f t="shared" si="100"/>
        <v>6.3700000000000045</v>
      </c>
      <c r="Y190" s="2"/>
      <c r="Z190" s="7">
        <f t="shared" si="101"/>
        <v>1.0883307705450205E-2</v>
      </c>
    </row>
    <row r="191" spans="1:26" s="24" customFormat="1" hidden="1" outlineLevel="2" x14ac:dyDescent="0.25">
      <c r="A191" s="29"/>
      <c r="B191" s="11" t="str">
        <f>CONCATENATE("          ", "6285", " - ", "JANITORIAL SERVICES")</f>
        <v xml:space="preserve">          6285 - JANITORIAL SERVICES</v>
      </c>
      <c r="C191" s="11"/>
      <c r="D191" s="6">
        <v>4339.03</v>
      </c>
      <c r="E191" s="2"/>
      <c r="F191" s="7">
        <f t="shared" si="94"/>
        <v>7.529720280721441E-3</v>
      </c>
      <c r="G191" s="2"/>
      <c r="H191" s="6">
        <v>-519.85</v>
      </c>
      <c r="I191" s="2"/>
      <c r="J191" s="7">
        <f t="shared" si="95"/>
        <v>-3.2468499746703852E-3</v>
      </c>
      <c r="K191" s="2"/>
      <c r="L191" s="6">
        <f t="shared" si="96"/>
        <v>4858.88</v>
      </c>
      <c r="M191" s="2"/>
      <c r="N191" s="7">
        <f t="shared" si="97"/>
        <v>-9.3466961623545259</v>
      </c>
      <c r="O191" s="11"/>
      <c r="P191" s="6">
        <v>31597.89</v>
      </c>
      <c r="Q191" s="2"/>
      <c r="R191" s="7">
        <f t="shared" si="98"/>
        <v>1.0833151888778503E-2</v>
      </c>
      <c r="S191" s="2"/>
      <c r="T191" s="6">
        <v>6197.67</v>
      </c>
      <c r="U191" s="2"/>
      <c r="V191" s="7">
        <f t="shared" si="99"/>
        <v>2.6299238733137002E-3</v>
      </c>
      <c r="W191" s="2"/>
      <c r="X191" s="6">
        <f t="shared" si="100"/>
        <v>25400.22</v>
      </c>
      <c r="Y191" s="2"/>
      <c r="Z191" s="7">
        <f t="shared" si="101"/>
        <v>4.0983498637391147</v>
      </c>
    </row>
    <row r="192" spans="1:26" s="24" customFormat="1" hidden="1" outlineLevel="2" x14ac:dyDescent="0.25">
      <c r="A192" s="29"/>
      <c r="B192" s="11" t="str">
        <f>CONCATENATE("          ", "6286", " - ", "LAUNDRY EXPENSE")</f>
        <v xml:space="preserve">          6286 - LAUNDRY EXPENSE</v>
      </c>
      <c r="C192" s="11"/>
      <c r="D192" s="6">
        <v>103.88</v>
      </c>
      <c r="E192" s="2"/>
      <c r="F192" s="7">
        <f t="shared" si="94"/>
        <v>1.8026778859822203E-4</v>
      </c>
      <c r="G192" s="2"/>
      <c r="H192" s="6"/>
      <c r="I192" s="2"/>
      <c r="J192" s="7">
        <f t="shared" si="95"/>
        <v>0</v>
      </c>
      <c r="K192" s="2"/>
      <c r="L192" s="6">
        <f t="shared" si="96"/>
        <v>103.88</v>
      </c>
      <c r="M192" s="2"/>
      <c r="N192" s="7">
        <f t="shared" si="97"/>
        <v>0</v>
      </c>
      <c r="O192" s="11"/>
      <c r="P192" s="6">
        <v>207.76</v>
      </c>
      <c r="Q192" s="2"/>
      <c r="R192" s="7">
        <f t="shared" si="98"/>
        <v>7.1229301589841024E-5</v>
      </c>
      <c r="S192" s="2"/>
      <c r="T192" s="6"/>
      <c r="U192" s="2"/>
      <c r="V192" s="7">
        <f t="shared" si="99"/>
        <v>0</v>
      </c>
      <c r="W192" s="2"/>
      <c r="X192" s="6">
        <f t="shared" si="100"/>
        <v>207.76</v>
      </c>
      <c r="Y192" s="2"/>
      <c r="Z192" s="7">
        <f t="shared" si="101"/>
        <v>0</v>
      </c>
    </row>
    <row r="193" spans="1:26" s="28" customFormat="1" outlineLevel="1" collapsed="1" x14ac:dyDescent="0.25">
      <c r="A193" s="27"/>
      <c r="B193" s="14" t="str">
        <f>CONCATENATE("     ","Subscriptions &amp; Dues                              ")</f>
        <v xml:space="preserve">     Subscriptions &amp; Dues                              </v>
      </c>
      <c r="C193" s="14"/>
      <c r="D193" s="1">
        <f>SUM(OSRRefD22_20x_0)</f>
        <v>904.08</v>
      </c>
      <c r="E193" s="1"/>
      <c r="F193" s="5">
        <f t="shared" ref="F193:F195" si="102">IF(D$12=0,0,D193/D$12)</f>
        <v>1.5688920130523738E-3</v>
      </c>
      <c r="G193" s="1"/>
      <c r="H193" s="1">
        <f>SUM(OSRRefH22_20x_0)</f>
        <v>865.32</v>
      </c>
      <c r="I193" s="1"/>
      <c r="J193" s="5">
        <f t="shared" ref="J193:J195" si="103">IF(H$12=0,0,H193/H$12)</f>
        <v>5.4045671252895599E-3</v>
      </c>
      <c r="K193" s="1"/>
      <c r="L193" s="1">
        <f t="shared" ref="L193:L195" si="104">+D193-H193</f>
        <v>38.759999999999991</v>
      </c>
      <c r="M193" s="1"/>
      <c r="N193" s="5">
        <f t="shared" ref="N193:N195" si="105">IF(H193=0,0,L193/H193)</f>
        <v>4.47926778532797E-2</v>
      </c>
      <c r="O193" s="14"/>
      <c r="P193" s="1">
        <f>SUM(OSRRefP22_20x_0)</f>
        <v>956.84</v>
      </c>
      <c r="Q193" s="1"/>
      <c r="R193" s="5">
        <f t="shared" ref="R193:R195" si="106">IF(P$12=0,0,P193/P$12)</f>
        <v>3.2804700102629709E-4</v>
      </c>
      <c r="S193" s="1"/>
      <c r="T193" s="1">
        <f>SUM(OSRRefT22_20x_0)</f>
        <v>1649.09</v>
      </c>
      <c r="U193" s="1"/>
      <c r="V193" s="5">
        <f t="shared" ref="V193:V195" si="107">IF(T$12=0,0,T193/T$12)</f>
        <v>6.9977607072381877E-4</v>
      </c>
      <c r="W193" s="1"/>
      <c r="X193" s="1">
        <f t="shared" ref="X193:X195" si="108">+P193-T193</f>
        <v>-692.24999999999989</v>
      </c>
      <c r="Y193" s="1"/>
      <c r="Z193" s="5">
        <f t="shared" ref="Z193:Z195" si="109">IF(T193=0,0,X193/T193)</f>
        <v>-0.41977696790351038</v>
      </c>
    </row>
    <row r="194" spans="1:26" s="24" customFormat="1" hidden="1" outlineLevel="2" x14ac:dyDescent="0.25">
      <c r="A194" s="29"/>
      <c r="B194" s="11" t="str">
        <f>CONCATENATE("          ", "6258", " - ", "MEMBERSHIP DUES")</f>
        <v xml:space="preserve">          6258 - MEMBERSHIP DUES</v>
      </c>
      <c r="C194" s="11"/>
      <c r="D194" s="6">
        <v>904.08</v>
      </c>
      <c r="E194" s="2"/>
      <c r="F194" s="7">
        <f t="shared" si="102"/>
        <v>1.5688920130523738E-3</v>
      </c>
      <c r="G194" s="2"/>
      <c r="H194" s="6">
        <v>790.32</v>
      </c>
      <c r="I194" s="2"/>
      <c r="J194" s="7">
        <f t="shared" si="103"/>
        <v>4.9361363315985358E-3</v>
      </c>
      <c r="K194" s="2"/>
      <c r="L194" s="6">
        <f t="shared" si="104"/>
        <v>113.75999999999999</v>
      </c>
      <c r="M194" s="2"/>
      <c r="N194" s="7">
        <f t="shared" si="105"/>
        <v>0.14394169450349223</v>
      </c>
      <c r="O194" s="11"/>
      <c r="P194" s="6">
        <v>956.84</v>
      </c>
      <c r="Q194" s="2"/>
      <c r="R194" s="7">
        <f t="shared" si="106"/>
        <v>3.2804700102629709E-4</v>
      </c>
      <c r="S194" s="2"/>
      <c r="T194" s="6">
        <v>1423.36</v>
      </c>
      <c r="U194" s="2"/>
      <c r="V194" s="7">
        <f t="shared" si="107"/>
        <v>6.0398963551137571E-4</v>
      </c>
      <c r="W194" s="2"/>
      <c r="X194" s="6">
        <f t="shared" si="108"/>
        <v>-466.51999999999987</v>
      </c>
      <c r="Y194" s="2"/>
      <c r="Z194" s="7">
        <f t="shared" si="109"/>
        <v>-0.32775966726618699</v>
      </c>
    </row>
    <row r="195" spans="1:26" s="24" customFormat="1" hidden="1" outlineLevel="2" x14ac:dyDescent="0.25">
      <c r="A195" s="29"/>
      <c r="B195" s="11" t="str">
        <f>CONCATENATE("          ", "6275", " - ", "SUBSCRIPTIONS")</f>
        <v xml:space="preserve">          6275 - SUBSCRIPTIONS</v>
      </c>
      <c r="C195" s="11"/>
      <c r="D195" s="6"/>
      <c r="E195" s="2"/>
      <c r="F195" s="7">
        <f t="shared" si="102"/>
        <v>0</v>
      </c>
      <c r="G195" s="2"/>
      <c r="H195" s="6">
        <v>75</v>
      </c>
      <c r="I195" s="2"/>
      <c r="J195" s="7">
        <f t="shared" si="103"/>
        <v>4.6843079369102408E-4</v>
      </c>
      <c r="K195" s="2"/>
      <c r="L195" s="6">
        <f t="shared" si="104"/>
        <v>-75</v>
      </c>
      <c r="M195" s="2"/>
      <c r="N195" s="7">
        <f t="shared" si="105"/>
        <v>-1</v>
      </c>
      <c r="O195" s="11"/>
      <c r="P195" s="6"/>
      <c r="Q195" s="2"/>
      <c r="R195" s="7">
        <f t="shared" si="106"/>
        <v>0</v>
      </c>
      <c r="S195" s="2"/>
      <c r="T195" s="6">
        <v>225.73</v>
      </c>
      <c r="U195" s="2"/>
      <c r="V195" s="7">
        <f t="shared" si="107"/>
        <v>9.5786435212442982E-5</v>
      </c>
      <c r="W195" s="2"/>
      <c r="X195" s="6">
        <f t="shared" si="108"/>
        <v>-225.73</v>
      </c>
      <c r="Y195" s="2"/>
      <c r="Z195" s="7">
        <f t="shared" si="109"/>
        <v>-1</v>
      </c>
    </row>
    <row r="196" spans="1:26" s="28" customFormat="1" outlineLevel="1" collapsed="1" x14ac:dyDescent="0.25">
      <c r="A196" s="27"/>
      <c r="B196" s="14" t="str">
        <f>CONCATENATE("     ","Supplies                                          ")</f>
        <v xml:space="preserve">     Supplies                                          </v>
      </c>
      <c r="C196" s="14"/>
      <c r="D196" s="1">
        <f>SUM(OSRRefD22_21x_0)</f>
        <v>13688.72</v>
      </c>
      <c r="E196" s="1"/>
      <c r="F196" s="5">
        <f t="shared" ref="F196:F203" si="110">IF(D$12=0,0,D196/D$12)</f>
        <v>2.3754671574318962E-2</v>
      </c>
      <c r="G196" s="1"/>
      <c r="H196" s="1">
        <f>SUM(OSRRefH22_21x_0)</f>
        <v>23249.799999999996</v>
      </c>
      <c r="I196" s="1"/>
      <c r="J196" s="5">
        <f t="shared" ref="J196:J203" si="111">IF(H$12=0,0,H196/H$12)</f>
        <v>0.14521229689543427</v>
      </c>
      <c r="K196" s="1"/>
      <c r="L196" s="1">
        <f t="shared" ref="L196:L203" si="112">+D196-H196</f>
        <v>-9561.0799999999963</v>
      </c>
      <c r="M196" s="1"/>
      <c r="N196" s="5">
        <f t="shared" ref="N196:N203" si="113">IF(H196=0,0,L196/H196)</f>
        <v>-0.41123278479814873</v>
      </c>
      <c r="O196" s="14"/>
      <c r="P196" s="1">
        <f>SUM(OSRRefP22_21x_0)</f>
        <v>42295.15</v>
      </c>
      <c r="Q196" s="1"/>
      <c r="R196" s="5">
        <f t="shared" ref="R196:R203" si="114">IF(P$12=0,0,P196/P$12)</f>
        <v>1.4500644951567023E-2</v>
      </c>
      <c r="S196" s="1"/>
      <c r="T196" s="1">
        <f>SUM(OSRRefT22_21x_0)</f>
        <v>57693.03</v>
      </c>
      <c r="U196" s="1"/>
      <c r="V196" s="5">
        <f t="shared" ref="V196:V203" si="115">IF(T$12=0,0,T196/T$12)</f>
        <v>2.4481503035947944E-2</v>
      </c>
      <c r="W196" s="1"/>
      <c r="X196" s="1">
        <f t="shared" ref="X196:X203" si="116">+P196-T196</f>
        <v>-15397.879999999997</v>
      </c>
      <c r="Y196" s="1"/>
      <c r="Z196" s="5">
        <f t="shared" ref="Z196:Z203" si="117">IF(T196=0,0,X196/T196)</f>
        <v>-0.2668932451632372</v>
      </c>
    </row>
    <row r="197" spans="1:26" s="24" customFormat="1" hidden="1" outlineLevel="2" x14ac:dyDescent="0.25">
      <c r="A197" s="29"/>
      <c r="B197" s="11" t="str">
        <f>CONCATENATE("          ", "6234", " - ", "EXPENDABLE SUPPLIES &amp; EQUIPMEN")</f>
        <v xml:space="preserve">          6234 - EXPENDABLE SUPPLIES &amp; EQUIPMEN</v>
      </c>
      <c r="C197" s="11"/>
      <c r="D197" s="6">
        <v>3737.3</v>
      </c>
      <c r="E197" s="2"/>
      <c r="F197" s="7">
        <f t="shared" si="110"/>
        <v>6.4855102649993765E-3</v>
      </c>
      <c r="G197" s="2"/>
      <c r="H197" s="6">
        <v>101.34</v>
      </c>
      <c r="I197" s="2"/>
      <c r="J197" s="7">
        <f t="shared" si="111"/>
        <v>6.3294368843531176E-4</v>
      </c>
      <c r="K197" s="2"/>
      <c r="L197" s="6">
        <f t="shared" si="112"/>
        <v>3635.96</v>
      </c>
      <c r="M197" s="2"/>
      <c r="N197" s="7">
        <f t="shared" si="113"/>
        <v>35.878823761594631</v>
      </c>
      <c r="O197" s="11"/>
      <c r="P197" s="6">
        <v>3737.3</v>
      </c>
      <c r="Q197" s="2"/>
      <c r="R197" s="7">
        <f t="shared" si="114"/>
        <v>1.2813114595288451E-3</v>
      </c>
      <c r="S197" s="2"/>
      <c r="T197" s="6">
        <v>418.01</v>
      </c>
      <c r="U197" s="2"/>
      <c r="V197" s="7">
        <f t="shared" si="115"/>
        <v>1.7737867267599917E-4</v>
      </c>
      <c r="W197" s="2"/>
      <c r="X197" s="6">
        <f t="shared" si="116"/>
        <v>3319.29</v>
      </c>
      <c r="Y197" s="2"/>
      <c r="Z197" s="7">
        <f t="shared" si="117"/>
        <v>7.9406951986794576</v>
      </c>
    </row>
    <row r="198" spans="1:26" s="24" customFormat="1" hidden="1" outlineLevel="2" x14ac:dyDescent="0.25">
      <c r="A198" s="29"/>
      <c r="B198" s="11" t="str">
        <f>CONCATENATE("          ", "6235", " - ", "COVID-19 EXPENSES")</f>
        <v xml:space="preserve">          6235 - COVID-19 EXPENSES</v>
      </c>
      <c r="C198" s="11"/>
      <c r="D198" s="6"/>
      <c r="E198" s="2"/>
      <c r="F198" s="7">
        <f t="shared" si="110"/>
        <v>0</v>
      </c>
      <c r="G198" s="2"/>
      <c r="H198" s="6">
        <v>16805.12</v>
      </c>
      <c r="I198" s="2"/>
      <c r="J198" s="7">
        <f t="shared" si="111"/>
        <v>0.10496047599563869</v>
      </c>
      <c r="K198" s="2"/>
      <c r="L198" s="6">
        <f t="shared" si="112"/>
        <v>-16805.12</v>
      </c>
      <c r="M198" s="2"/>
      <c r="N198" s="7">
        <f t="shared" si="113"/>
        <v>-1</v>
      </c>
      <c r="O198" s="11"/>
      <c r="P198" s="6">
        <v>3430.32</v>
      </c>
      <c r="Q198" s="2"/>
      <c r="R198" s="7">
        <f t="shared" si="114"/>
        <v>1.1760651609051959E-3</v>
      </c>
      <c r="S198" s="2"/>
      <c r="T198" s="6">
        <v>26107.06</v>
      </c>
      <c r="U198" s="2"/>
      <c r="V198" s="7">
        <f t="shared" si="115"/>
        <v>1.1078289156414131E-2</v>
      </c>
      <c r="W198" s="2"/>
      <c r="X198" s="6">
        <f t="shared" si="116"/>
        <v>-22676.74</v>
      </c>
      <c r="Y198" s="2"/>
      <c r="Z198" s="7">
        <f t="shared" si="117"/>
        <v>-0.86860565686063462</v>
      </c>
    </row>
    <row r="199" spans="1:26" s="24" customFormat="1" hidden="1" outlineLevel="2" x14ac:dyDescent="0.25">
      <c r="A199" s="29"/>
      <c r="B199" s="11" t="str">
        <f>CONCATENATE("          ", "6237", " - ", "JANITORIAL SUPPLIES")</f>
        <v xml:space="preserve">          6237 - JANITORIAL SUPPLIES</v>
      </c>
      <c r="C199" s="11"/>
      <c r="D199" s="6">
        <v>1303.78</v>
      </c>
      <c r="E199" s="2"/>
      <c r="F199" s="7">
        <f t="shared" si="110"/>
        <v>2.2625099867018667E-3</v>
      </c>
      <c r="G199" s="2"/>
      <c r="H199" s="6">
        <v>1109.05</v>
      </c>
      <c r="I199" s="2"/>
      <c r="J199" s="7">
        <f t="shared" si="111"/>
        <v>6.9268422899070696E-3</v>
      </c>
      <c r="K199" s="2"/>
      <c r="L199" s="6">
        <f t="shared" si="112"/>
        <v>194.73000000000002</v>
      </c>
      <c r="M199" s="2"/>
      <c r="N199" s="7">
        <f t="shared" si="113"/>
        <v>0.17558270591948066</v>
      </c>
      <c r="O199" s="11"/>
      <c r="P199" s="6">
        <v>3903.65</v>
      </c>
      <c r="Q199" s="2"/>
      <c r="R199" s="7">
        <f t="shared" si="114"/>
        <v>1.3383435846706917E-3</v>
      </c>
      <c r="S199" s="2"/>
      <c r="T199" s="6">
        <v>1565.93</v>
      </c>
      <c r="U199" s="2"/>
      <c r="V199" s="7">
        <f t="shared" si="115"/>
        <v>6.6448789479564454E-4</v>
      </c>
      <c r="W199" s="2"/>
      <c r="X199" s="6">
        <f t="shared" si="116"/>
        <v>2337.7200000000003</v>
      </c>
      <c r="Y199" s="2"/>
      <c r="Z199" s="7">
        <f t="shared" si="117"/>
        <v>1.492863665681097</v>
      </c>
    </row>
    <row r="200" spans="1:26" s="24" customFormat="1" hidden="1" outlineLevel="2" x14ac:dyDescent="0.25">
      <c r="A200" s="29"/>
      <c r="B200" s="11" t="str">
        <f>CONCATENATE("          ", "6241", " - ", "OFFICE EXPENSE")</f>
        <v xml:space="preserve">          6241 - OFFICE EXPENSE</v>
      </c>
      <c r="C200" s="11"/>
      <c r="D200" s="6">
        <v>1032.81</v>
      </c>
      <c r="E200" s="2"/>
      <c r="F200" s="7">
        <f t="shared" si="110"/>
        <v>1.7922831607829197E-3</v>
      </c>
      <c r="G200" s="2"/>
      <c r="H200" s="6">
        <v>330.19</v>
      </c>
      <c r="I200" s="2"/>
      <c r="J200" s="7">
        <f t="shared" si="111"/>
        <v>2.0622821835845234E-3</v>
      </c>
      <c r="K200" s="2"/>
      <c r="L200" s="6">
        <f t="shared" si="112"/>
        <v>702.61999999999989</v>
      </c>
      <c r="M200" s="2"/>
      <c r="N200" s="7">
        <f t="shared" si="113"/>
        <v>2.1279263454374751</v>
      </c>
      <c r="O200" s="11"/>
      <c r="P200" s="6">
        <v>7206.7</v>
      </c>
      <c r="Q200" s="2"/>
      <c r="R200" s="7">
        <f t="shared" si="114"/>
        <v>2.4707749700014791E-3</v>
      </c>
      <c r="S200" s="2"/>
      <c r="T200" s="6">
        <v>7940.98</v>
      </c>
      <c r="U200" s="2"/>
      <c r="V200" s="7">
        <f t="shared" si="115"/>
        <v>3.3696813285487327E-3</v>
      </c>
      <c r="W200" s="2"/>
      <c r="X200" s="6">
        <f t="shared" si="116"/>
        <v>-734.27999999999975</v>
      </c>
      <c r="Y200" s="2"/>
      <c r="Z200" s="7">
        <f t="shared" si="117"/>
        <v>-9.2467176595332032E-2</v>
      </c>
    </row>
    <row r="201" spans="1:26" s="24" customFormat="1" hidden="1" outlineLevel="2" x14ac:dyDescent="0.25">
      <c r="A201" s="29"/>
      <c r="B201" s="11" t="str">
        <f>CONCATENATE("          ", "6243", " - ", "PAPER SUPPLIES")</f>
        <v xml:space="preserve">          6243 - PAPER SUPPLIES</v>
      </c>
      <c r="C201" s="11"/>
      <c r="D201" s="6">
        <v>735.87</v>
      </c>
      <c r="E201" s="2"/>
      <c r="F201" s="7">
        <f t="shared" si="110"/>
        <v>1.2769893877144171E-3</v>
      </c>
      <c r="G201" s="2"/>
      <c r="H201" s="6">
        <v>449.01</v>
      </c>
      <c r="I201" s="2"/>
      <c r="J201" s="7">
        <f t="shared" si="111"/>
        <v>2.8044014756694229E-3</v>
      </c>
      <c r="K201" s="2"/>
      <c r="L201" s="6">
        <f t="shared" si="112"/>
        <v>286.86</v>
      </c>
      <c r="M201" s="2"/>
      <c r="N201" s="7">
        <f t="shared" si="113"/>
        <v>0.63887218547471103</v>
      </c>
      <c r="O201" s="11"/>
      <c r="P201" s="6">
        <v>4186.79</v>
      </c>
      <c r="Q201" s="2"/>
      <c r="R201" s="7">
        <f t="shared" si="114"/>
        <v>1.435416478645218E-3</v>
      </c>
      <c r="S201" s="2"/>
      <c r="T201" s="6">
        <v>3573.7</v>
      </c>
      <c r="U201" s="2"/>
      <c r="V201" s="7">
        <f t="shared" si="115"/>
        <v>1.516466502098558E-3</v>
      </c>
      <c r="W201" s="2"/>
      <c r="X201" s="6">
        <f t="shared" si="116"/>
        <v>613.09000000000015</v>
      </c>
      <c r="Y201" s="2"/>
      <c r="Z201" s="7">
        <f t="shared" si="117"/>
        <v>0.17155609032655236</v>
      </c>
    </row>
    <row r="202" spans="1:26" s="24" customFormat="1" hidden="1" outlineLevel="2" x14ac:dyDescent="0.25">
      <c r="A202" s="29"/>
      <c r="B202" s="11" t="str">
        <f>CONCATENATE("          ", "6245", " - ", "PRINTING")</f>
        <v xml:space="preserve">          6245 - PRINTING</v>
      </c>
      <c r="C202" s="11"/>
      <c r="D202" s="6">
        <v>296.68</v>
      </c>
      <c r="E202" s="2"/>
      <c r="F202" s="7">
        <f t="shared" si="110"/>
        <v>5.148425829930739E-4</v>
      </c>
      <c r="G202" s="2"/>
      <c r="H202" s="6">
        <v>353.09</v>
      </c>
      <c r="I202" s="2"/>
      <c r="J202" s="7">
        <f t="shared" si="111"/>
        <v>2.2053097192581824E-3</v>
      </c>
      <c r="K202" s="2"/>
      <c r="L202" s="6">
        <f t="shared" si="112"/>
        <v>-56.409999999999968</v>
      </c>
      <c r="M202" s="2"/>
      <c r="N202" s="7">
        <f t="shared" si="113"/>
        <v>-0.15976096745872148</v>
      </c>
      <c r="O202" s="11"/>
      <c r="P202" s="6">
        <v>-27.07</v>
      </c>
      <c r="Q202" s="2"/>
      <c r="R202" s="7">
        <f t="shared" si="114"/>
        <v>-9.2807912689497334E-6</v>
      </c>
      <c r="S202" s="2"/>
      <c r="T202" s="6">
        <v>414.55</v>
      </c>
      <c r="U202" s="2"/>
      <c r="V202" s="7">
        <f t="shared" si="115"/>
        <v>1.7591045371602465E-4</v>
      </c>
      <c r="W202" s="2"/>
      <c r="X202" s="6">
        <f t="shared" si="116"/>
        <v>-441.62</v>
      </c>
      <c r="Y202" s="2"/>
      <c r="Z202" s="7">
        <f t="shared" si="117"/>
        <v>-1.065299722590761</v>
      </c>
    </row>
    <row r="203" spans="1:26" s="24" customFormat="1" hidden="1" outlineLevel="2" x14ac:dyDescent="0.25">
      <c r="A203" s="29"/>
      <c r="B203" s="11" t="str">
        <f>CONCATENATE("          ", "6247", " - ", "STORE SUPPLIES")</f>
        <v xml:space="preserve">          6247 - STORE SUPPLIES</v>
      </c>
      <c r="C203" s="11"/>
      <c r="D203" s="6">
        <v>6582.28</v>
      </c>
      <c r="E203" s="2"/>
      <c r="F203" s="7">
        <f t="shared" si="110"/>
        <v>1.1422536191127309E-2</v>
      </c>
      <c r="G203" s="2"/>
      <c r="H203" s="6">
        <v>4102</v>
      </c>
      <c r="I203" s="2"/>
      <c r="J203" s="7">
        <f t="shared" si="111"/>
        <v>2.5620041542941077E-2</v>
      </c>
      <c r="K203" s="2"/>
      <c r="L203" s="6">
        <f t="shared" si="112"/>
        <v>2480.2799999999997</v>
      </c>
      <c r="M203" s="2"/>
      <c r="N203" s="7">
        <f t="shared" si="113"/>
        <v>0.60465138956606523</v>
      </c>
      <c r="O203" s="11"/>
      <c r="P203" s="6">
        <v>19857.46</v>
      </c>
      <c r="Q203" s="2"/>
      <c r="R203" s="7">
        <f t="shared" si="114"/>
        <v>6.8080140890845421E-3</v>
      </c>
      <c r="S203" s="2"/>
      <c r="T203" s="6">
        <v>17672.8</v>
      </c>
      <c r="U203" s="2"/>
      <c r="V203" s="7">
        <f t="shared" si="115"/>
        <v>7.4992890276988546E-3</v>
      </c>
      <c r="W203" s="2"/>
      <c r="X203" s="6">
        <f t="shared" si="116"/>
        <v>2184.66</v>
      </c>
      <c r="Y203" s="2"/>
      <c r="Z203" s="7">
        <f t="shared" si="117"/>
        <v>0.12361708388031324</v>
      </c>
    </row>
    <row r="204" spans="1:26" s="28" customFormat="1" outlineLevel="1" collapsed="1" x14ac:dyDescent="0.25">
      <c r="A204" s="27"/>
      <c r="B204" s="14" t="str">
        <f>CONCATENATE("     ","Telephone/Data Lines                              ")</f>
        <v xml:space="preserve">     Telephone/Data Lines                              </v>
      </c>
      <c r="C204" s="14"/>
      <c r="D204" s="1">
        <f>SUM(OSRRefD22_22x_0)</f>
        <v>2257.39</v>
      </c>
      <c r="E204" s="1"/>
      <c r="F204" s="5">
        <f t="shared" ref="F204:F206" si="118">IF(D$12=0,0,D204/D$12)</f>
        <v>3.9173537091234155E-3</v>
      </c>
      <c r="G204" s="1"/>
      <c r="H204" s="1">
        <f>SUM(OSRRefH22_22x_0)</f>
        <v>2000.33</v>
      </c>
      <c r="I204" s="1"/>
      <c r="J204" s="5">
        <f t="shared" ref="J204:J206" si="119">IF(H$12=0,0,H204/H$12)</f>
        <v>1.2493548927252882E-2</v>
      </c>
      <c r="K204" s="1"/>
      <c r="L204" s="1">
        <f t="shared" ref="L204:L206" si="120">+D204-H204</f>
        <v>257.05999999999995</v>
      </c>
      <c r="M204" s="1"/>
      <c r="N204" s="5">
        <f t="shared" ref="N204:N206" si="121">IF(H204=0,0,L204/H204)</f>
        <v>0.12850879604865195</v>
      </c>
      <c r="O204" s="14"/>
      <c r="P204" s="1">
        <f>SUM(OSRRefP22_22x_0)</f>
        <v>8120.71</v>
      </c>
      <c r="Q204" s="1"/>
      <c r="R204" s="5">
        <f t="shared" ref="R204:R206" si="122">IF(P$12=0,0,P204/P$12)</f>
        <v>2.7841379558800439E-3</v>
      </c>
      <c r="S204" s="1"/>
      <c r="T204" s="1">
        <f>SUM(OSRRefT22_22x_0)</f>
        <v>12637.36</v>
      </c>
      <c r="U204" s="1"/>
      <c r="V204" s="5">
        <f t="shared" ref="V204:V206" si="123">IF(T$12=0,0,T204/T$12)</f>
        <v>5.3625466924924403E-3</v>
      </c>
      <c r="W204" s="1"/>
      <c r="X204" s="1">
        <f t="shared" ref="X204:X206" si="124">+P204-T204</f>
        <v>-4516.6500000000005</v>
      </c>
      <c r="Y204" s="1"/>
      <c r="Z204" s="5">
        <f t="shared" ref="Z204:Z206" si="125">IF(T204=0,0,X204/T204)</f>
        <v>-0.35740455284964584</v>
      </c>
    </row>
    <row r="205" spans="1:26" s="24" customFormat="1" hidden="1" outlineLevel="2" x14ac:dyDescent="0.25">
      <c r="A205" s="29"/>
      <c r="B205" s="11" t="str">
        <f>CONCATENATE("          ", "6303", " - ", "DATA PHONE LINES")</f>
        <v xml:space="preserve">          6303 - DATA PHONE LINES</v>
      </c>
      <c r="C205" s="11"/>
      <c r="D205" s="6"/>
      <c r="E205" s="2"/>
      <c r="F205" s="7">
        <f t="shared" si="118"/>
        <v>0</v>
      </c>
      <c r="G205" s="2"/>
      <c r="H205" s="6"/>
      <c r="I205" s="2"/>
      <c r="J205" s="7">
        <f t="shared" si="119"/>
        <v>0</v>
      </c>
      <c r="K205" s="2"/>
      <c r="L205" s="6">
        <f t="shared" si="120"/>
        <v>0</v>
      </c>
      <c r="M205" s="2"/>
      <c r="N205" s="7">
        <f t="shared" si="121"/>
        <v>0</v>
      </c>
      <c r="O205" s="11"/>
      <c r="P205" s="6">
        <v>295</v>
      </c>
      <c r="Q205" s="2"/>
      <c r="R205" s="7">
        <f t="shared" si="122"/>
        <v>1.0113902564980315E-4</v>
      </c>
      <c r="S205" s="2"/>
      <c r="T205" s="6">
        <v>1180</v>
      </c>
      <c r="U205" s="2"/>
      <c r="V205" s="7">
        <f t="shared" si="123"/>
        <v>5.0072207305490066E-4</v>
      </c>
      <c r="W205" s="2"/>
      <c r="X205" s="6">
        <f t="shared" si="124"/>
        <v>-885</v>
      </c>
      <c r="Y205" s="2"/>
      <c r="Z205" s="7">
        <f t="shared" si="125"/>
        <v>-0.75</v>
      </c>
    </row>
    <row r="206" spans="1:26" s="24" customFormat="1" hidden="1" outlineLevel="2" x14ac:dyDescent="0.25">
      <c r="A206" s="29"/>
      <c r="B206" s="11" t="str">
        <f>CONCATENATE("          ", "6309", " - ", "TELEPHONE")</f>
        <v xml:space="preserve">          6309 - TELEPHONE</v>
      </c>
      <c r="C206" s="11"/>
      <c r="D206" s="6">
        <v>2257.39</v>
      </c>
      <c r="E206" s="2"/>
      <c r="F206" s="7">
        <f t="shared" si="118"/>
        <v>3.9173537091234155E-3</v>
      </c>
      <c r="G206" s="2"/>
      <c r="H206" s="6">
        <v>2000.33</v>
      </c>
      <c r="I206" s="2"/>
      <c r="J206" s="7">
        <f t="shared" si="119"/>
        <v>1.2493548927252882E-2</v>
      </c>
      <c r="K206" s="2"/>
      <c r="L206" s="6">
        <f t="shared" si="120"/>
        <v>257.05999999999995</v>
      </c>
      <c r="M206" s="2"/>
      <c r="N206" s="7">
        <f t="shared" si="121"/>
        <v>0.12850879604865195</v>
      </c>
      <c r="O206" s="11"/>
      <c r="P206" s="6">
        <v>7825.71</v>
      </c>
      <c r="Q206" s="2"/>
      <c r="R206" s="7">
        <f t="shared" si="122"/>
        <v>2.6829989302302407E-3</v>
      </c>
      <c r="S206" s="2"/>
      <c r="T206" s="6">
        <v>11457.36</v>
      </c>
      <c r="U206" s="2"/>
      <c r="V206" s="7">
        <f t="shared" si="123"/>
        <v>4.8618246194375402E-3</v>
      </c>
      <c r="W206" s="2"/>
      <c r="X206" s="6">
        <f t="shared" si="124"/>
        <v>-3631.6500000000005</v>
      </c>
      <c r="Y206" s="2"/>
      <c r="Z206" s="7">
        <f t="shared" si="125"/>
        <v>-0.31697092523932219</v>
      </c>
    </row>
    <row r="207" spans="1:26" s="28" customFormat="1" outlineLevel="1" collapsed="1" x14ac:dyDescent="0.25">
      <c r="A207" s="27"/>
      <c r="B207" s="14" t="str">
        <f>CONCATENATE("     ","Training                                          ")</f>
        <v xml:space="preserve">     Training                                          </v>
      </c>
      <c r="C207" s="14"/>
      <c r="D207" s="1">
        <f>SUM(OSRRefD22_23x_0)</f>
        <v>0</v>
      </c>
      <c r="E207" s="1"/>
      <c r="F207" s="5">
        <f t="shared" ref="F207:F212" si="126">IF(D$12=0,0,D207/D$12)</f>
        <v>0</v>
      </c>
      <c r="G207" s="1"/>
      <c r="H207" s="1">
        <f>SUM(OSRRefH22_23x_0)</f>
        <v>14</v>
      </c>
      <c r="I207" s="1"/>
      <c r="J207" s="5">
        <f t="shared" ref="J207:J212" si="127">IF(H$12=0,0,H207/H$12)</f>
        <v>8.7440414822324497E-5</v>
      </c>
      <c r="K207" s="1"/>
      <c r="L207" s="1">
        <f t="shared" ref="L207:L212" si="128">+D207-H207</f>
        <v>-14</v>
      </c>
      <c r="M207" s="1"/>
      <c r="N207" s="5">
        <f t="shared" ref="N207:N212" si="129">IF(H207=0,0,L207/H207)</f>
        <v>-1</v>
      </c>
      <c r="O207" s="14"/>
      <c r="P207" s="1">
        <f>SUM(OSRRefP22_23x_0)</f>
        <v>595</v>
      </c>
      <c r="Q207" s="1"/>
      <c r="R207" s="5">
        <f t="shared" ref="R207:R212" si="130">IF(P$12=0,0,P207/P$12)</f>
        <v>2.0399227207333178E-4</v>
      </c>
      <c r="S207" s="1"/>
      <c r="T207" s="1">
        <f>SUM(OSRRefT22_23x_0)</f>
        <v>145.63</v>
      </c>
      <c r="U207" s="1"/>
      <c r="V207" s="5">
        <f t="shared" ref="V207:V212" si="131">IF(T$12=0,0,T207/T$12)</f>
        <v>6.179674194829252E-5</v>
      </c>
      <c r="W207" s="1"/>
      <c r="X207" s="1">
        <f t="shared" ref="X207:X212" si="132">+P207-T207</f>
        <v>449.37</v>
      </c>
      <c r="Y207" s="1"/>
      <c r="Z207" s="5">
        <f t="shared" ref="Z207:Z212" si="133">IF(T207=0,0,X207/T207)</f>
        <v>3.085696628441942</v>
      </c>
    </row>
    <row r="208" spans="1:26" s="24" customFormat="1" hidden="1" outlineLevel="2" x14ac:dyDescent="0.25">
      <c r="A208" s="29"/>
      <c r="B208" s="11" t="str">
        <f>CONCATENATE("          ", "6376", " - ", "TRAINING")</f>
        <v xml:space="preserve">          6376 - TRAINING</v>
      </c>
      <c r="C208" s="11"/>
      <c r="D208" s="6"/>
      <c r="E208" s="2"/>
      <c r="F208" s="7">
        <f t="shared" si="126"/>
        <v>0</v>
      </c>
      <c r="G208" s="2"/>
      <c r="H208" s="6">
        <v>14</v>
      </c>
      <c r="I208" s="2"/>
      <c r="J208" s="7">
        <f t="shared" si="127"/>
        <v>8.7440414822324497E-5</v>
      </c>
      <c r="K208" s="2"/>
      <c r="L208" s="6">
        <f t="shared" si="128"/>
        <v>-14</v>
      </c>
      <c r="M208" s="2"/>
      <c r="N208" s="7">
        <f t="shared" si="129"/>
        <v>-1</v>
      </c>
      <c r="O208" s="11"/>
      <c r="P208" s="6">
        <v>595</v>
      </c>
      <c r="Q208" s="2"/>
      <c r="R208" s="7">
        <f t="shared" si="130"/>
        <v>2.0399227207333178E-4</v>
      </c>
      <c r="S208" s="2"/>
      <c r="T208" s="6">
        <v>145.63</v>
      </c>
      <c r="U208" s="2"/>
      <c r="V208" s="7">
        <f t="shared" si="131"/>
        <v>6.179674194829252E-5</v>
      </c>
      <c r="W208" s="2"/>
      <c r="X208" s="6">
        <f t="shared" si="132"/>
        <v>449.37</v>
      </c>
      <c r="Y208" s="2"/>
      <c r="Z208" s="7">
        <f t="shared" si="133"/>
        <v>3.085696628441942</v>
      </c>
    </row>
    <row r="209" spans="1:26" s="28" customFormat="1" outlineLevel="1" collapsed="1" x14ac:dyDescent="0.25">
      <c r="A209" s="27"/>
      <c r="B209" s="14" t="str">
        <f>CONCATENATE("     ","Travel                                            ")</f>
        <v xml:space="preserve">     Travel                                            </v>
      </c>
      <c r="C209" s="14"/>
      <c r="D209" s="1">
        <f>SUM(OSRRefD22_24x_0)</f>
        <v>50</v>
      </c>
      <c r="E209" s="1"/>
      <c r="F209" s="5">
        <f t="shared" si="126"/>
        <v>8.6767322197835026E-5</v>
      </c>
      <c r="G209" s="1"/>
      <c r="H209" s="1">
        <f>SUM(OSRRefH22_24x_0)</f>
        <v>80.959999999999994</v>
      </c>
      <c r="I209" s="1"/>
      <c r="J209" s="5">
        <f t="shared" si="127"/>
        <v>5.056554274296708E-4</v>
      </c>
      <c r="K209" s="1"/>
      <c r="L209" s="1">
        <f t="shared" si="128"/>
        <v>-30.959999999999994</v>
      </c>
      <c r="M209" s="1"/>
      <c r="N209" s="5">
        <f t="shared" si="129"/>
        <v>-0.38241106719367585</v>
      </c>
      <c r="O209" s="14"/>
      <c r="P209" s="1">
        <f>SUM(OSRRefP22_24x_0)</f>
        <v>760.53</v>
      </c>
      <c r="Q209" s="1"/>
      <c r="R209" s="5">
        <f t="shared" si="130"/>
        <v>2.6074326500828742E-4</v>
      </c>
      <c r="S209" s="1"/>
      <c r="T209" s="1">
        <f>SUM(OSRRefT22_24x_0)</f>
        <v>381.93</v>
      </c>
      <c r="U209" s="1"/>
      <c r="V209" s="5">
        <f t="shared" si="131"/>
        <v>1.6206845878123579E-4</v>
      </c>
      <c r="W209" s="1"/>
      <c r="X209" s="1">
        <f t="shared" si="132"/>
        <v>378.59999999999997</v>
      </c>
      <c r="Y209" s="1"/>
      <c r="Z209" s="5">
        <f t="shared" si="133"/>
        <v>0.99128112481344743</v>
      </c>
    </row>
    <row r="210" spans="1:26" s="24" customFormat="1" hidden="1" outlineLevel="2" x14ac:dyDescent="0.25">
      <c r="A210" s="29"/>
      <c r="B210" s="11" t="str">
        <f>CONCATENATE("          ", "6292", " - ", "TRAVEL/CONFERENCE")</f>
        <v xml:space="preserve">          6292 - TRAVEL/CONFERENCE</v>
      </c>
      <c r="C210" s="11"/>
      <c r="D210" s="6"/>
      <c r="E210" s="2"/>
      <c r="F210" s="7">
        <f t="shared" si="126"/>
        <v>0</v>
      </c>
      <c r="G210" s="2"/>
      <c r="H210" s="6"/>
      <c r="I210" s="2"/>
      <c r="J210" s="7">
        <f t="shared" si="127"/>
        <v>0</v>
      </c>
      <c r="K210" s="2"/>
      <c r="L210" s="6">
        <f t="shared" si="128"/>
        <v>0</v>
      </c>
      <c r="M210" s="2"/>
      <c r="N210" s="7">
        <f t="shared" si="129"/>
        <v>0</v>
      </c>
      <c r="O210" s="11"/>
      <c r="P210" s="6">
        <v>495</v>
      </c>
      <c r="Q210" s="2"/>
      <c r="R210" s="7">
        <f t="shared" si="130"/>
        <v>1.6970785659882224E-4</v>
      </c>
      <c r="S210" s="2"/>
      <c r="T210" s="6">
        <v>0.16</v>
      </c>
      <c r="U210" s="2"/>
      <c r="V210" s="7">
        <f t="shared" si="131"/>
        <v>6.7894518380325521E-8</v>
      </c>
      <c r="W210" s="2"/>
      <c r="X210" s="6">
        <f t="shared" si="132"/>
        <v>494.84</v>
      </c>
      <c r="Y210" s="2"/>
      <c r="Z210" s="7">
        <f t="shared" si="133"/>
        <v>3092.75</v>
      </c>
    </row>
    <row r="211" spans="1:26" s="24" customFormat="1" hidden="1" outlineLevel="2" x14ac:dyDescent="0.25">
      <c r="A211" s="29"/>
      <c r="B211" s="11" t="str">
        <f>CONCATENATE("          ", "6294", " - ", "TRAVEL OPERATIONAL")</f>
        <v xml:space="preserve">          6294 - TRAVEL OPERATIONAL</v>
      </c>
      <c r="C211" s="11"/>
      <c r="D211" s="6"/>
      <c r="E211" s="2"/>
      <c r="F211" s="7">
        <f t="shared" si="126"/>
        <v>0</v>
      </c>
      <c r="G211" s="2"/>
      <c r="H211" s="6">
        <v>80.959999999999994</v>
      </c>
      <c r="I211" s="2"/>
      <c r="J211" s="7">
        <f t="shared" si="127"/>
        <v>5.056554274296708E-4</v>
      </c>
      <c r="K211" s="2"/>
      <c r="L211" s="6">
        <f t="shared" si="128"/>
        <v>-80.959999999999994</v>
      </c>
      <c r="M211" s="2"/>
      <c r="N211" s="7">
        <f t="shared" si="129"/>
        <v>-1</v>
      </c>
      <c r="O211" s="11"/>
      <c r="P211" s="6">
        <v>215.53</v>
      </c>
      <c r="Q211" s="2"/>
      <c r="R211" s="7">
        <f t="shared" si="130"/>
        <v>7.3893200672210422E-5</v>
      </c>
      <c r="S211" s="2"/>
      <c r="T211" s="6">
        <v>321.88</v>
      </c>
      <c r="U211" s="2"/>
      <c r="V211" s="7">
        <f t="shared" si="131"/>
        <v>1.3658679735161985E-4</v>
      </c>
      <c r="W211" s="2"/>
      <c r="X211" s="6">
        <f t="shared" si="132"/>
        <v>-106.35</v>
      </c>
      <c r="Y211" s="2"/>
      <c r="Z211" s="7">
        <f t="shared" si="133"/>
        <v>-0.33040263452218216</v>
      </c>
    </row>
    <row r="212" spans="1:26" s="24" customFormat="1" hidden="1" outlineLevel="2" x14ac:dyDescent="0.25">
      <c r="A212" s="29"/>
      <c r="B212" s="11" t="str">
        <f>CONCATENATE("          ", "6298", " - ", "VEHICLE MILEAGE")</f>
        <v xml:space="preserve">          6298 - VEHICLE MILEAGE</v>
      </c>
      <c r="C212" s="11"/>
      <c r="D212" s="6">
        <v>50</v>
      </c>
      <c r="E212" s="2"/>
      <c r="F212" s="7">
        <f t="shared" si="126"/>
        <v>8.6767322197835026E-5</v>
      </c>
      <c r="G212" s="2"/>
      <c r="H212" s="6"/>
      <c r="I212" s="2"/>
      <c r="J212" s="7">
        <f t="shared" si="127"/>
        <v>0</v>
      </c>
      <c r="K212" s="2"/>
      <c r="L212" s="6">
        <f t="shared" si="128"/>
        <v>50</v>
      </c>
      <c r="M212" s="2"/>
      <c r="N212" s="7">
        <f t="shared" si="129"/>
        <v>0</v>
      </c>
      <c r="O212" s="11"/>
      <c r="P212" s="6">
        <v>50</v>
      </c>
      <c r="Q212" s="2"/>
      <c r="R212" s="7">
        <f t="shared" si="130"/>
        <v>1.7142207737254773E-5</v>
      </c>
      <c r="S212" s="2"/>
      <c r="T212" s="6">
        <v>59.89</v>
      </c>
      <c r="U212" s="2"/>
      <c r="V212" s="7">
        <f t="shared" si="131"/>
        <v>2.5413766911235593E-5</v>
      </c>
      <c r="W212" s="2"/>
      <c r="X212" s="6">
        <f t="shared" si="132"/>
        <v>-9.89</v>
      </c>
      <c r="Y212" s="2"/>
      <c r="Z212" s="7">
        <f t="shared" si="133"/>
        <v>-0.16513608281850059</v>
      </c>
    </row>
    <row r="213" spans="1:26" s="28" customFormat="1" outlineLevel="1" collapsed="1" x14ac:dyDescent="0.25">
      <c r="A213" s="27"/>
      <c r="B213" s="14" t="str">
        <f>CONCATENATE("     ","Utilities                                         ")</f>
        <v xml:space="preserve">     Utilities                                         </v>
      </c>
      <c r="C213" s="14"/>
      <c r="D213" s="1">
        <f>SUM(OSRRefD22_25x_0)</f>
        <v>6138.6</v>
      </c>
      <c r="E213" s="1"/>
      <c r="F213" s="5">
        <f t="shared" ref="F213:F214" si="134">IF(D$12=0,0,D213/D$12)</f>
        <v>1.0652597680872601E-2</v>
      </c>
      <c r="G213" s="1"/>
      <c r="H213" s="1">
        <f>SUM(OSRRefH22_25x_0)</f>
        <v>7089.05</v>
      </c>
      <c r="I213" s="1"/>
      <c r="J213" s="5">
        <f t="shared" ref="J213:J214" si="135">IF(H$12=0,0,H213/H$12)</f>
        <v>4.4276390906871389E-2</v>
      </c>
      <c r="K213" s="1"/>
      <c r="L213" s="1">
        <f t="shared" ref="L213:L214" si="136">+D213-H213</f>
        <v>-950.44999999999982</v>
      </c>
      <c r="M213" s="1"/>
      <c r="N213" s="5">
        <f t="shared" ref="N213:N214" si="137">IF(H213=0,0,L213/H213)</f>
        <v>-0.1340729716957843</v>
      </c>
      <c r="O213" s="14"/>
      <c r="P213" s="1">
        <f>SUM(OSRRefP22_25x_0)</f>
        <v>24549.98</v>
      </c>
      <c r="Q213" s="1"/>
      <c r="R213" s="5">
        <f t="shared" ref="R213:R214" si="138">IF(P$12=0,0,P213/P$12)</f>
        <v>8.4168171421089982E-3</v>
      </c>
      <c r="S213" s="1"/>
      <c r="T213" s="1">
        <f>SUM(OSRRefT22_25x_0)</f>
        <v>25721.43</v>
      </c>
      <c r="U213" s="1"/>
      <c r="V213" s="5">
        <f t="shared" ref="V213:V214" si="139">IF(T$12=0,0,T213/T$12)</f>
        <v>1.091465063689535E-2</v>
      </c>
      <c r="W213" s="1"/>
      <c r="X213" s="1">
        <f t="shared" ref="X213:X214" si="140">+P213-T213</f>
        <v>-1171.4500000000007</v>
      </c>
      <c r="Y213" s="1"/>
      <c r="Z213" s="5">
        <f t="shared" ref="Z213:Z214" si="141">IF(T213=0,0,X213/T213)</f>
        <v>-4.5543735321092203E-2</v>
      </c>
    </row>
    <row r="214" spans="1:26" s="24" customFormat="1" hidden="1" outlineLevel="2" x14ac:dyDescent="0.25">
      <c r="A214" s="29"/>
      <c r="B214" s="11" t="str">
        <f>CONCATENATE("          ", "6274", " - ", "UTILITIES")</f>
        <v xml:space="preserve">          6274 - UTILITIES</v>
      </c>
      <c r="C214" s="11"/>
      <c r="D214" s="6">
        <v>6138.6</v>
      </c>
      <c r="E214" s="2"/>
      <c r="F214" s="7">
        <f t="shared" si="134"/>
        <v>1.0652597680872601E-2</v>
      </c>
      <c r="G214" s="2"/>
      <c r="H214" s="6">
        <v>7089.05</v>
      </c>
      <c r="I214" s="2"/>
      <c r="J214" s="7">
        <f t="shared" si="135"/>
        <v>4.4276390906871389E-2</v>
      </c>
      <c r="K214" s="2"/>
      <c r="L214" s="6">
        <f t="shared" si="136"/>
        <v>-950.44999999999982</v>
      </c>
      <c r="M214" s="2"/>
      <c r="N214" s="7">
        <f t="shared" si="137"/>
        <v>-0.1340729716957843</v>
      </c>
      <c r="O214" s="11"/>
      <c r="P214" s="6">
        <v>24549.98</v>
      </c>
      <c r="Q214" s="2"/>
      <c r="R214" s="7">
        <f t="shared" si="138"/>
        <v>8.4168171421089982E-3</v>
      </c>
      <c r="S214" s="2"/>
      <c r="T214" s="6">
        <v>25721.43</v>
      </c>
      <c r="U214" s="2"/>
      <c r="V214" s="7">
        <f t="shared" si="139"/>
        <v>1.091465063689535E-2</v>
      </c>
      <c r="W214" s="2"/>
      <c r="X214" s="6">
        <f t="shared" si="140"/>
        <v>-1171.4500000000007</v>
      </c>
      <c r="Y214" s="2"/>
      <c r="Z214" s="7">
        <f t="shared" si="141"/>
        <v>-4.5543735321092203E-2</v>
      </c>
    </row>
    <row r="215" spans="1:26" s="56" customFormat="1" x14ac:dyDescent="0.25">
      <c r="A215" s="37"/>
      <c r="B215" s="37"/>
      <c r="C215" s="37"/>
      <c r="D215" s="1"/>
      <c r="E215" s="1"/>
      <c r="F215" s="5"/>
      <c r="G215" s="1"/>
      <c r="H215" s="1"/>
      <c r="I215" s="1"/>
      <c r="J215" s="5"/>
      <c r="K215" s="1"/>
      <c r="L215" s="1"/>
      <c r="M215" s="1"/>
      <c r="N215" s="5"/>
      <c r="O215" s="37"/>
      <c r="P215" s="1"/>
      <c r="Q215" s="1"/>
      <c r="R215" s="5"/>
      <c r="S215" s="1"/>
      <c r="T215" s="1"/>
      <c r="U215" s="1"/>
      <c r="V215" s="5"/>
      <c r="W215" s="1"/>
      <c r="X215" s="1"/>
      <c r="Y215" s="1"/>
      <c r="Z215" s="5"/>
    </row>
    <row r="216" spans="1:26" s="23" customFormat="1" collapsed="1" x14ac:dyDescent="0.25">
      <c r="A216" s="10"/>
      <c r="B216" s="25" t="s">
        <v>292</v>
      </c>
      <c r="C216" s="10"/>
      <c r="D216" s="4">
        <f>SUM(OSRRefD25x_0)</f>
        <v>38787.699999999997</v>
      </c>
      <c r="E216" s="4"/>
      <c r="F216" s="12">
        <f t="shared" ref="F216:F220" si="142">IF(D$12=0,0,D216/D$12)</f>
        <v>6.7310097264259308E-2</v>
      </c>
      <c r="G216" s="4"/>
      <c r="H216" s="4">
        <f>SUM(OSRRefH25x_0)</f>
        <v>30589.780000000002</v>
      </c>
      <c r="I216" s="4"/>
      <c r="J216" s="12">
        <f t="shared" ref="J216:J220" si="143">IF(H$12=0,0,H216/H$12)</f>
        <v>0.19105593232311754</v>
      </c>
      <c r="K216" s="4"/>
      <c r="L216" s="4">
        <f t="shared" ref="L216:L220" si="144">+D216-H216</f>
        <v>8197.9199999999946</v>
      </c>
      <c r="M216" s="4"/>
      <c r="N216" s="12">
        <f t="shared" ref="N216:N220" si="145">IF(H216=0,0,L216/H216)</f>
        <v>0.26799538930976274</v>
      </c>
      <c r="O216" s="10"/>
      <c r="P216" s="4">
        <f>SUM(OSRRefP25x_0)</f>
        <v>401638.98</v>
      </c>
      <c r="Q216" s="4"/>
      <c r="R216" s="12">
        <f t="shared" ref="R216:R220" si="146">IF(P$12=0,0,P216/P$12)</f>
        <v>0.13769957661078228</v>
      </c>
      <c r="S216" s="4"/>
      <c r="T216" s="4">
        <f>SUM(OSRRefT25x_0)</f>
        <v>451995.42000000004</v>
      </c>
      <c r="U216" s="4"/>
      <c r="V216" s="12">
        <f t="shared" ref="V216:V220" si="147">IF(T$12=0,0,T216/T$12)</f>
        <v>0.19180007094383095</v>
      </c>
      <c r="W216" s="4"/>
      <c r="X216" s="4">
        <f t="shared" ref="X216:X220" si="148">+P216-T216</f>
        <v>-50356.440000000061</v>
      </c>
      <c r="Y216" s="4"/>
      <c r="Z216" s="12">
        <f t="shared" ref="Z216:Z220" si="149">IF(T216=0,0,X216/T216)</f>
        <v>-0.1114091819779945</v>
      </c>
    </row>
    <row r="217" spans="1:26" s="24" customFormat="1" hidden="1" outlineLevel="1" x14ac:dyDescent="0.25">
      <c r="A217" s="44"/>
      <c r="B217" s="11" t="str">
        <f>CONCATENATE("          ", "9150", " - ", "MISC. INCOME")</f>
        <v xml:space="preserve">          9150 - MISC. INCOME</v>
      </c>
      <c r="C217" s="11"/>
      <c r="D217" s="2">
        <f>--28793.44</f>
        <v>28793.439999999999</v>
      </c>
      <c r="E217" s="2"/>
      <c r="F217" s="19">
        <f t="shared" si="142"/>
        <v>4.9966593713280612E-2</v>
      </c>
      <c r="G217" s="2"/>
      <c r="H217" s="2">
        <f>--30327.7</f>
        <v>30327.7</v>
      </c>
      <c r="I217" s="2"/>
      <c r="J217" s="19">
        <f t="shared" si="143"/>
        <v>0.18941904775764362</v>
      </c>
      <c r="K217" s="2"/>
      <c r="L217" s="2">
        <f t="shared" si="144"/>
        <v>-1534.260000000002</v>
      </c>
      <c r="M217" s="2"/>
      <c r="N217" s="19">
        <f t="shared" si="145"/>
        <v>-5.0589395173389409E-2</v>
      </c>
      <c r="O217" s="11"/>
      <c r="P217" s="2">
        <f>--158232.01</f>
        <v>158232.01</v>
      </c>
      <c r="Q217" s="2"/>
      <c r="R217" s="19">
        <f t="shared" si="146"/>
        <v>5.4248919722067489E-2</v>
      </c>
      <c r="S217" s="2"/>
      <c r="T217" s="2">
        <f>--141695.11</f>
        <v>141695.10999999999</v>
      </c>
      <c r="U217" s="2"/>
      <c r="V217" s="19">
        <f t="shared" si="147"/>
        <v>6.0127007814357779E-2</v>
      </c>
      <c r="W217" s="2"/>
      <c r="X217" s="2">
        <f t="shared" si="148"/>
        <v>16536.900000000023</v>
      </c>
      <c r="Y217" s="2"/>
      <c r="Z217" s="19">
        <f t="shared" si="149"/>
        <v>0.11670762667815442</v>
      </c>
    </row>
    <row r="218" spans="1:26" s="24" customFormat="1" hidden="1" outlineLevel="1" x14ac:dyDescent="0.25">
      <c r="A218" s="44"/>
      <c r="B218" s="11" t="str">
        <f>CONCATENATE("          ", "9151", " - ", "MISC. INCOME")</f>
        <v xml:space="preserve">          9151 - MISC. INCOME</v>
      </c>
      <c r="C218" s="11"/>
      <c r="D218" s="2">
        <f>0</f>
        <v>0</v>
      </c>
      <c r="E218" s="2"/>
      <c r="F218" s="19">
        <f t="shared" si="142"/>
        <v>0</v>
      </c>
      <c r="G218" s="2"/>
      <c r="H218" s="2">
        <f>0</f>
        <v>0</v>
      </c>
      <c r="I218" s="2"/>
      <c r="J218" s="19">
        <f t="shared" si="143"/>
        <v>0</v>
      </c>
      <c r="K218" s="2"/>
      <c r="L218" s="2">
        <f t="shared" si="144"/>
        <v>0</v>
      </c>
      <c r="M218" s="2"/>
      <c r="N218" s="19">
        <f t="shared" si="145"/>
        <v>0</v>
      </c>
      <c r="O218" s="11"/>
      <c r="P218" s="2">
        <f>--168463.36</f>
        <v>168463.35999999999</v>
      </c>
      <c r="Q218" s="2"/>
      <c r="R218" s="19">
        <f t="shared" si="146"/>
        <v>5.7756678264718711E-2</v>
      </c>
      <c r="S218" s="2"/>
      <c r="T218" s="2">
        <f>--147285.39</f>
        <v>147285.39000000001</v>
      </c>
      <c r="U218" s="2"/>
      <c r="V218" s="19">
        <f t="shared" si="147"/>
        <v>6.2499191365677581E-2</v>
      </c>
      <c r="W218" s="2"/>
      <c r="X218" s="2">
        <f t="shared" si="148"/>
        <v>21177.969999999972</v>
      </c>
      <c r="Y218" s="2"/>
      <c r="Z218" s="19">
        <f t="shared" si="149"/>
        <v>0.14378866770152809</v>
      </c>
    </row>
    <row r="219" spans="1:26" s="24" customFormat="1" hidden="1" outlineLevel="1" x14ac:dyDescent="0.25">
      <c r="A219" s="44"/>
      <c r="B219" s="11" t="str">
        <f>CONCATENATE("          ", "9152", " - ", "MISC. INCOME")</f>
        <v xml:space="preserve">          9152 - MISC. INCOME</v>
      </c>
      <c r="C219" s="11"/>
      <c r="D219" s="2">
        <f>--257.3</f>
        <v>257.3</v>
      </c>
      <c r="E219" s="2"/>
      <c r="F219" s="19">
        <f t="shared" si="142"/>
        <v>4.4650464003005903E-4</v>
      </c>
      <c r="G219" s="2"/>
      <c r="H219" s="2">
        <f>--262.08</f>
        <v>262.08</v>
      </c>
      <c r="I219" s="2"/>
      <c r="J219" s="19">
        <f t="shared" si="143"/>
        <v>1.6368845654739146E-3</v>
      </c>
      <c r="K219" s="2"/>
      <c r="L219" s="2">
        <f t="shared" si="144"/>
        <v>-4.7799999999999727</v>
      </c>
      <c r="M219" s="2"/>
      <c r="N219" s="19">
        <f t="shared" si="145"/>
        <v>-1.8238705738705636E-2</v>
      </c>
      <c r="O219" s="11"/>
      <c r="P219" s="2">
        <f>--2195.41</f>
        <v>2195.41</v>
      </c>
      <c r="Q219" s="2"/>
      <c r="R219" s="19">
        <f t="shared" si="146"/>
        <v>7.5268348576892994E-4</v>
      </c>
      <c r="S219" s="2"/>
      <c r="T219" s="2">
        <f>--2351.02</f>
        <v>2351.02</v>
      </c>
      <c r="U219" s="2"/>
      <c r="V219" s="19">
        <f t="shared" si="147"/>
        <v>9.9763356626570549E-4</v>
      </c>
      <c r="W219" s="2"/>
      <c r="X219" s="2">
        <f t="shared" si="148"/>
        <v>-155.61000000000013</v>
      </c>
      <c r="Y219" s="2"/>
      <c r="Z219" s="19">
        <f t="shared" si="149"/>
        <v>-6.61882927410231E-2</v>
      </c>
    </row>
    <row r="220" spans="1:26" s="24" customFormat="1" hidden="1" outlineLevel="1" x14ac:dyDescent="0.25">
      <c r="A220" s="44"/>
      <c r="B220" s="11" t="str">
        <f>CONCATENATE("          ", "9163", " - ", "MISC. INCOME")</f>
        <v xml:space="preserve">          9163 - MISC. INCOME</v>
      </c>
      <c r="C220" s="11"/>
      <c r="D220" s="2">
        <f>--9736.96</f>
        <v>9736.9599999999991</v>
      </c>
      <c r="E220" s="2"/>
      <c r="F220" s="19">
        <f t="shared" si="142"/>
        <v>1.6896998910948632E-2</v>
      </c>
      <c r="G220" s="2"/>
      <c r="H220" s="2">
        <f>0</f>
        <v>0</v>
      </c>
      <c r="I220" s="2"/>
      <c r="J220" s="19">
        <f t="shared" si="143"/>
        <v>0</v>
      </c>
      <c r="K220" s="2"/>
      <c r="L220" s="2">
        <f t="shared" si="144"/>
        <v>9736.9599999999991</v>
      </c>
      <c r="M220" s="2"/>
      <c r="N220" s="19">
        <f t="shared" si="145"/>
        <v>0</v>
      </c>
      <c r="O220" s="11"/>
      <c r="P220" s="2">
        <f>--72748.2</f>
        <v>72748.2</v>
      </c>
      <c r="Q220" s="2"/>
      <c r="R220" s="19">
        <f t="shared" si="146"/>
        <v>2.4941295138227151E-2</v>
      </c>
      <c r="S220" s="2"/>
      <c r="T220" s="2">
        <f>--160663.9</f>
        <v>160663.9</v>
      </c>
      <c r="U220" s="2"/>
      <c r="V220" s="19">
        <f t="shared" si="147"/>
        <v>6.8176238197529868E-2</v>
      </c>
      <c r="W220" s="2"/>
      <c r="X220" s="2">
        <f t="shared" si="148"/>
        <v>-87915.7</v>
      </c>
      <c r="Y220" s="2"/>
      <c r="Z220" s="19">
        <f t="shared" si="149"/>
        <v>-0.54720257630992397</v>
      </c>
    </row>
    <row r="221" spans="1:26" x14ac:dyDescent="0.25">
      <c r="A221" s="9"/>
      <c r="B221" s="10"/>
      <c r="C221" s="10"/>
      <c r="D221" s="3"/>
      <c r="E221" s="3"/>
      <c r="F221" s="8"/>
      <c r="G221" s="3"/>
      <c r="H221" s="3"/>
      <c r="I221" s="3"/>
      <c r="J221" s="8"/>
      <c r="K221" s="3"/>
      <c r="L221" s="3"/>
      <c r="M221" s="3"/>
      <c r="N221" s="8"/>
      <c r="O221" s="10"/>
      <c r="P221" s="3"/>
      <c r="Q221" s="3"/>
      <c r="R221" s="8"/>
      <c r="S221" s="3"/>
      <c r="T221" s="3"/>
      <c r="U221" s="3"/>
      <c r="V221" s="8"/>
      <c r="W221" s="3"/>
      <c r="X221" s="3"/>
      <c r="Y221" s="3"/>
      <c r="Z221" s="8"/>
    </row>
    <row r="222" spans="1:26" s="23" customFormat="1" x14ac:dyDescent="0.25">
      <c r="A222" s="10"/>
      <c r="B222" s="26" t="s">
        <v>276</v>
      </c>
      <c r="C222" s="26"/>
      <c r="D222" s="22">
        <f>+D122-D124+D216</f>
        <v>-59387.400000000038</v>
      </c>
      <c r="E222" s="13"/>
      <c r="F222" s="20">
        <f>IF(D$12=0,0,D222/D$12)</f>
        <v>-0.10305771340583422</v>
      </c>
      <c r="G222" s="13"/>
      <c r="H222" s="22">
        <f>+H122-H124+H216</f>
        <v>-256177.75000000003</v>
      </c>
      <c r="I222" s="13"/>
      <c r="J222" s="20">
        <f>IF(H$12=0,0,H222/H$12)</f>
        <v>-1.6000206234464101</v>
      </c>
      <c r="K222" s="15"/>
      <c r="L222" s="22">
        <f>+D222-H222</f>
        <v>196790.34999999998</v>
      </c>
      <c r="M222" s="15"/>
      <c r="N222" s="20">
        <f>IF(H222=0,0,L222/H222)</f>
        <v>-0.76817893044965835</v>
      </c>
      <c r="O222" s="25"/>
      <c r="P222" s="22">
        <f>+P122-P124+P216</f>
        <v>73959.52000000095</v>
      </c>
      <c r="Q222" s="13"/>
      <c r="R222" s="20">
        <f>IF(P$12=0,0,P222/P$12)</f>
        <v>2.5356589119753307E-2</v>
      </c>
      <c r="S222" s="13"/>
      <c r="T222" s="22">
        <f>+T122-T124+T216</f>
        <v>10243.769999999902</v>
      </c>
      <c r="U222" s="13"/>
      <c r="V222" s="20">
        <f>IF(T$12=0,0,T222/T$12)</f>
        <v>4.3468489409301276E-3</v>
      </c>
      <c r="W222" s="15"/>
      <c r="X222" s="22">
        <f>+P222-T222</f>
        <v>63715.750000001048</v>
      </c>
      <c r="Y222" s="15"/>
      <c r="Z222" s="20">
        <f>IF(T222=0,0,X222/T222)</f>
        <v>6.2199512484174928</v>
      </c>
    </row>
    <row r="223" spans="1:26" x14ac:dyDescent="0.25">
      <c r="A223" s="9"/>
      <c r="B223" s="10"/>
      <c r="C223" s="9"/>
      <c r="D223" s="3"/>
      <c r="E223" s="3"/>
      <c r="F223" s="8"/>
      <c r="G223" s="3"/>
      <c r="H223" s="3"/>
      <c r="I223" s="3"/>
      <c r="J223" s="8"/>
      <c r="K223" s="3"/>
      <c r="L223" s="3"/>
      <c r="M223" s="3"/>
      <c r="N223" s="8"/>
      <c r="P223" s="3"/>
      <c r="Q223" s="3"/>
      <c r="R223" s="8"/>
      <c r="S223" s="3"/>
      <c r="T223" s="3"/>
      <c r="U223" s="3"/>
      <c r="V223" s="8"/>
      <c r="W223" s="3"/>
      <c r="X223" s="3"/>
      <c r="Y223" s="3"/>
      <c r="Z223" s="8"/>
    </row>
    <row r="224" spans="1:26" s="23" customFormat="1" x14ac:dyDescent="0.25">
      <c r="A224" s="51"/>
      <c r="B224" s="10" t="s">
        <v>127</v>
      </c>
      <c r="C224" s="10"/>
      <c r="D224" s="4">
        <v>47455.6</v>
      </c>
      <c r="E224" s="4"/>
      <c r="F224" s="12">
        <f>IF(D$12=0,0,D224/D$12)</f>
        <v>8.235190670583159E-2</v>
      </c>
      <c r="G224" s="4"/>
      <c r="H224" s="4">
        <v>103579.3</v>
      </c>
      <c r="I224" s="4"/>
      <c r="J224" s="12">
        <f>IF(H$12=0,0,H224/H$12)</f>
        <v>0.64692978278614255</v>
      </c>
      <c r="K224" s="4"/>
      <c r="L224" s="4">
        <f>+D224-H224</f>
        <v>-56123.700000000004</v>
      </c>
      <c r="M224" s="4"/>
      <c r="N224" s="12">
        <f>IF(H224=0,0,L224/H224)</f>
        <v>-0.54184281994568417</v>
      </c>
      <c r="O224" s="10"/>
      <c r="P224" s="4">
        <v>337155.35</v>
      </c>
      <c r="Q224" s="4"/>
      <c r="R224" s="12">
        <f>IF(P$12=0,0,P224/P$12)</f>
        <v>0.11559174098853681</v>
      </c>
      <c r="S224" s="4"/>
      <c r="T224" s="4">
        <v>510489.61</v>
      </c>
      <c r="U224" s="4"/>
      <c r="V224" s="12">
        <f>IF(T$12=0,0,T224/T$12)</f>
        <v>0.21662153880693877</v>
      </c>
      <c r="W224" s="4"/>
      <c r="X224" s="4">
        <f>+P224-T224</f>
        <v>-173334.26</v>
      </c>
      <c r="Y224" s="4"/>
      <c r="Z224" s="12">
        <f>IF(T224=0,0,X224/T224)</f>
        <v>-0.33954512805853193</v>
      </c>
    </row>
    <row r="225" spans="1:26" x14ac:dyDescent="0.25">
      <c r="A225" s="9"/>
      <c r="B225" s="10"/>
      <c r="C225" s="10"/>
      <c r="D225" s="3"/>
      <c r="E225" s="3"/>
      <c r="F225" s="8"/>
      <c r="G225" s="3"/>
      <c r="H225" s="3"/>
      <c r="I225" s="3"/>
      <c r="J225" s="8"/>
      <c r="K225" s="3"/>
      <c r="L225" s="3"/>
      <c r="M225" s="3"/>
      <c r="N225" s="8"/>
      <c r="O225" s="10"/>
      <c r="P225" s="3"/>
      <c r="Q225" s="3"/>
      <c r="R225" s="8"/>
      <c r="S225" s="3"/>
      <c r="T225" s="3"/>
      <c r="U225" s="3"/>
      <c r="V225" s="8"/>
      <c r="W225" s="3"/>
      <c r="X225" s="3"/>
      <c r="Y225" s="3"/>
      <c r="Z225" s="8"/>
    </row>
    <row r="226" spans="1:26" s="23" customFormat="1" ht="15.75" thickBot="1" x14ac:dyDescent="0.3">
      <c r="A226" s="10"/>
      <c r="B226" s="26" t="s">
        <v>125</v>
      </c>
      <c r="C226" s="26"/>
      <c r="D226" s="33">
        <f>+D222-D224</f>
        <v>-106843.00000000003</v>
      </c>
      <c r="E226" s="13"/>
      <c r="F226" s="31">
        <f>IF(D$12=0,0,D226/D$12)</f>
        <v>-0.18540962011166578</v>
      </c>
      <c r="G226" s="13"/>
      <c r="H226" s="33">
        <f>+H222-H224</f>
        <v>-359757.05000000005</v>
      </c>
      <c r="I226" s="13"/>
      <c r="J226" s="31">
        <f>IF(H$12=0,0,H226/H$12)</f>
        <v>-2.2469504062325529</v>
      </c>
      <c r="K226" s="15"/>
      <c r="L226" s="33">
        <f>D226-H226</f>
        <v>252914.05000000002</v>
      </c>
      <c r="M226" s="15"/>
      <c r="N226" s="31">
        <f>IF(H226=0,0,L226/H226)</f>
        <v>-0.70301346422537092</v>
      </c>
      <c r="O226" s="25"/>
      <c r="P226" s="33">
        <f>+P222-P224</f>
        <v>-263195.82999999903</v>
      </c>
      <c r="Q226" s="13"/>
      <c r="R226" s="31">
        <f>IF(P$12=0,0,P226/P$12)</f>
        <v>-9.0235151868783489E-2</v>
      </c>
      <c r="S226" s="13"/>
      <c r="T226" s="33">
        <f>+T222-T224</f>
        <v>-500245.84000000008</v>
      </c>
      <c r="U226" s="13"/>
      <c r="V226" s="31">
        <f>IF(T$12=0,0,T226/T$12)</f>
        <v>-0.21227468986600864</v>
      </c>
      <c r="W226" s="15"/>
      <c r="X226" s="33">
        <f>P226-T226</f>
        <v>237050.01000000106</v>
      </c>
      <c r="Y226" s="15"/>
      <c r="Z226" s="31">
        <f>IF(T226=0,0,X226/T226)</f>
        <v>-0.47386702905915423</v>
      </c>
    </row>
    <row r="227" spans="1:26" ht="15.75" thickTop="1" x14ac:dyDescent="0.25">
      <c r="A227" s="9"/>
      <c r="B227" s="9"/>
      <c r="C227" s="9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x14ac:dyDescent="0.25">
      <c r="A228" s="9"/>
      <c r="B228" s="9"/>
      <c r="C228" s="9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ht="15.75" thickBot="1" x14ac:dyDescent="0.3">
      <c r="A229" s="10"/>
      <c r="B229" s="26" t="s">
        <v>293</v>
      </c>
      <c r="C229" s="26"/>
      <c r="D229" s="34">
        <f>SUM(D226:D228)</f>
        <v>-106843.00000000003</v>
      </c>
      <c r="E229" s="13"/>
      <c r="F229" s="30">
        <f>IF(D$12=0,0,D229/D$12)</f>
        <v>-0.18540962011166578</v>
      </c>
      <c r="G229" s="13"/>
      <c r="H229" s="34">
        <f>SUM(H226:H228)</f>
        <v>-359757.05000000005</v>
      </c>
      <c r="I229" s="13"/>
      <c r="J229" s="30">
        <f>IF(H$12=0,0,H229/H$12)</f>
        <v>-2.2469504062325529</v>
      </c>
      <c r="K229" s="15"/>
      <c r="L229" s="34">
        <f>+D229-H229</f>
        <v>252914.05000000002</v>
      </c>
      <c r="M229" s="15"/>
      <c r="N229" s="30">
        <f>IF(H229=0,0,L229/H229)</f>
        <v>-0.70301346422537092</v>
      </c>
      <c r="O229" s="25"/>
      <c r="P229" s="34">
        <f>SUM(P226:P228)</f>
        <v>-263195.82999999903</v>
      </c>
      <c r="Q229" s="13"/>
      <c r="R229" s="30">
        <f>IF(P$12=0,0,P229/P$12)</f>
        <v>-9.0235151868783489E-2</v>
      </c>
      <c r="S229" s="13"/>
      <c r="T229" s="34">
        <f>SUM(T226:T228)</f>
        <v>-500245.84000000008</v>
      </c>
      <c r="U229" s="13"/>
      <c r="V229" s="30">
        <f>IF(T$12=0,0,T229/T$12)</f>
        <v>-0.21227468986600864</v>
      </c>
      <c r="W229" s="15"/>
      <c r="X229" s="34">
        <f>+P229-T229</f>
        <v>237050.01000000106</v>
      </c>
      <c r="Y229" s="15"/>
      <c r="Z229" s="30">
        <f>IF(T229=0,0,X229/T229)</f>
        <v>-0.47386702905915423</v>
      </c>
    </row>
    <row r="230" spans="1:26" ht="15.75" thickTop="1" x14ac:dyDescent="0.25">
      <c r="A230" s="9"/>
      <c r="C230" s="9"/>
      <c r="D230" s="18"/>
      <c r="E230" s="18"/>
      <c r="G230" s="18"/>
      <c r="H230" s="18"/>
      <c r="I230" s="18"/>
      <c r="J230" s="42"/>
      <c r="K230" s="18"/>
      <c r="L230" s="18"/>
      <c r="M230" s="18"/>
      <c r="P230" s="18"/>
      <c r="Q230" s="18"/>
      <c r="R230" s="42"/>
      <c r="S230" s="18"/>
      <c r="T230" s="18"/>
      <c r="U230" s="18"/>
      <c r="V230" s="42"/>
      <c r="W230" s="18"/>
      <c r="X230" s="18"/>
    </row>
    <row r="231" spans="1:26" x14ac:dyDescent="0.25">
      <c r="A231" s="9"/>
      <c r="B231" s="61">
        <v>44517.967013692127</v>
      </c>
      <c r="D231" s="18"/>
      <c r="E231" s="18"/>
      <c r="G231" s="18"/>
      <c r="H231" s="18"/>
      <c r="I231" s="18"/>
      <c r="J231" s="42"/>
      <c r="K231" s="18"/>
      <c r="L231" s="18"/>
      <c r="M231" s="18"/>
      <c r="P231" s="18"/>
      <c r="Q231" s="18"/>
      <c r="R231" s="42"/>
      <c r="S231" s="18"/>
      <c r="T231" s="18"/>
      <c r="U231" s="18"/>
      <c r="V231" s="42"/>
      <c r="W231" s="18"/>
      <c r="X231" s="18"/>
    </row>
    <row r="232" spans="1:26" x14ac:dyDescent="0.25">
      <c r="A232" s="9"/>
      <c r="B232" s="57" t="s">
        <v>56</v>
      </c>
      <c r="D232" s="18"/>
      <c r="E232" s="18"/>
      <c r="G232" s="18"/>
      <c r="H232" s="18"/>
      <c r="I232" s="18"/>
      <c r="J232" s="42"/>
      <c r="K232" s="18"/>
      <c r="L232" s="18"/>
      <c r="M232" s="18"/>
      <c r="P232" s="18"/>
      <c r="Q232" s="18"/>
      <c r="R232" s="42"/>
      <c r="S232" s="18"/>
      <c r="T232" s="18"/>
      <c r="U232" s="18"/>
      <c r="V232" s="42"/>
      <c r="W232" s="18"/>
      <c r="X232" s="18"/>
    </row>
    <row r="233" spans="1:26" x14ac:dyDescent="0.25">
      <c r="A233" s="9"/>
      <c r="B233" s="58"/>
      <c r="D233" s="18"/>
      <c r="E233" s="18"/>
      <c r="G233" s="18"/>
      <c r="H233" s="18"/>
      <c r="I233" s="18"/>
      <c r="J233" s="42"/>
      <c r="K233" s="18"/>
      <c r="L233" s="18"/>
      <c r="M233" s="18"/>
      <c r="P233" s="18"/>
      <c r="Q233" s="18"/>
      <c r="R233" s="42"/>
      <c r="S233" s="18"/>
      <c r="T233" s="18"/>
      <c r="U233" s="18"/>
      <c r="V233" s="42"/>
      <c r="W233" s="18"/>
      <c r="X233" s="18"/>
    </row>
    <row r="234" spans="1:26" x14ac:dyDescent="0.25">
      <c r="D234" s="18"/>
      <c r="E234" s="18"/>
      <c r="G234" s="18"/>
      <c r="H234" s="18"/>
      <c r="I234" s="18"/>
      <c r="J234" s="42"/>
      <c r="K234" s="18"/>
      <c r="L234" s="18"/>
      <c r="M234" s="18"/>
      <c r="P234" s="18"/>
      <c r="Q234" s="18"/>
      <c r="R234" s="42"/>
      <c r="S234" s="18"/>
      <c r="T234" s="18"/>
      <c r="U234" s="18"/>
      <c r="V234" s="42"/>
      <c r="W234" s="18"/>
      <c r="X234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255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550423.75999999989</v>
      </c>
      <c r="E12" s="4"/>
      <c r="F12" s="12"/>
      <c r="G12" s="4"/>
      <c r="H12" s="4">
        <f>SUM(OSRRefH13x_0)</f>
        <v>160109.03000000003</v>
      </c>
      <c r="I12" s="4"/>
      <c r="J12" s="12"/>
      <c r="K12" s="4"/>
      <c r="L12" s="4">
        <f t="shared" ref="L12:L76" si="0">+D12-H12</f>
        <v>390314.72999999986</v>
      </c>
      <c r="M12" s="4"/>
      <c r="N12" s="12">
        <f t="shared" ref="N12:N76" si="1">IF(H12=0,0,L12/H12)</f>
        <v>2.4378058501759696</v>
      </c>
      <c r="O12" s="10"/>
      <c r="P12" s="4">
        <f>SUM(OSRRefP13x_0)</f>
        <v>2868169.07</v>
      </c>
      <c r="Q12" s="4"/>
      <c r="R12" s="12"/>
      <c r="S12" s="4"/>
      <c r="T12" s="4">
        <f>SUM(OSRRefT13x_0)</f>
        <v>2354010.2599999998</v>
      </c>
      <c r="U12" s="4"/>
      <c r="V12" s="12"/>
      <c r="W12" s="4"/>
      <c r="X12" s="4">
        <f t="shared" ref="X12:X76" si="2">+P12-T12</f>
        <v>514158.81000000006</v>
      </c>
      <c r="Y12" s="4"/>
      <c r="Z12" s="12">
        <f t="shared" ref="Z12:Z76" si="3">IF(T12=0,0,X12/T12)</f>
        <v>0.21841825362307474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--478161.62</f>
        <v>478161.62</v>
      </c>
      <c r="E13" s="2"/>
      <c r="F13" s="19"/>
      <c r="G13" s="2"/>
      <c r="H13" s="2">
        <f>-11383.24</f>
        <v>-11383.24</v>
      </c>
      <c r="I13" s="2"/>
      <c r="J13" s="19"/>
      <c r="K13" s="2"/>
      <c r="L13" s="2">
        <f t="shared" si="0"/>
        <v>489544.86</v>
      </c>
      <c r="M13" s="2"/>
      <c r="N13" s="19">
        <f t="shared" si="1"/>
        <v>-43.005757587470704</v>
      </c>
      <c r="O13" s="11"/>
      <c r="P13" s="2">
        <f>--2369514.2</f>
        <v>2369514.2000000002</v>
      </c>
      <c r="Q13" s="2"/>
      <c r="R13" s="19"/>
      <c r="S13" s="2"/>
      <c r="T13" s="2">
        <f>-47460.32</f>
        <v>-47460.32</v>
      </c>
      <c r="U13" s="2"/>
      <c r="V13" s="19"/>
      <c r="W13" s="2"/>
      <c r="X13" s="2">
        <f t="shared" si="2"/>
        <v>2416974.52</v>
      </c>
      <c r="Y13" s="2"/>
      <c r="Z13" s="19">
        <f t="shared" si="3"/>
        <v>-50.926216258128896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3" si="4">0</f>
        <v>0</v>
      </c>
      <c r="E14" s="2"/>
      <c r="F14" s="19"/>
      <c r="G14" s="2"/>
      <c r="H14" s="2">
        <f>--17630.93</f>
        <v>17630.93</v>
      </c>
      <c r="I14" s="2"/>
      <c r="J14" s="19"/>
      <c r="K14" s="2"/>
      <c r="L14" s="2">
        <f t="shared" si="0"/>
        <v>-17630.93</v>
      </c>
      <c r="M14" s="2"/>
      <c r="N14" s="19">
        <f t="shared" si="1"/>
        <v>-1</v>
      </c>
      <c r="O14" s="11"/>
      <c r="P14" s="2">
        <f t="shared" ref="P14:P33" si="5">0</f>
        <v>0</v>
      </c>
      <c r="Q14" s="2"/>
      <c r="R14" s="19"/>
      <c r="S14" s="2"/>
      <c r="T14" s="2">
        <f>--712327.57</f>
        <v>712327.57</v>
      </c>
      <c r="U14" s="2"/>
      <c r="V14" s="19"/>
      <c r="W14" s="2"/>
      <c r="X14" s="2">
        <f t="shared" si="2"/>
        <v>-712327.57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--2483.62</f>
        <v>2483.62</v>
      </c>
      <c r="I15" s="2"/>
      <c r="J15" s="19"/>
      <c r="K15" s="2"/>
      <c r="L15" s="2">
        <f t="shared" si="0"/>
        <v>-2483.62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--319139.52</f>
        <v>319139.52</v>
      </c>
      <c r="U15" s="2"/>
      <c r="V15" s="19"/>
      <c r="W15" s="2"/>
      <c r="X15" s="2">
        <f t="shared" si="2"/>
        <v>-319139.52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--70</f>
        <v>70</v>
      </c>
      <c r="I16" s="2"/>
      <c r="J16" s="19"/>
      <c r="K16" s="2"/>
      <c r="L16" s="2">
        <f t="shared" si="0"/>
        <v>-70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--354.45</f>
        <v>354.45</v>
      </c>
      <c r="I17" s="2"/>
      <c r="J17" s="19"/>
      <c r="K17" s="2"/>
      <c r="L17" s="2">
        <f t="shared" si="0"/>
        <v>-354.45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--157.47</f>
        <v>157.47</v>
      </c>
      <c r="I18" s="2"/>
      <c r="J18" s="19"/>
      <c r="K18" s="2"/>
      <c r="L18" s="2">
        <f t="shared" si="0"/>
        <v>-157.47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--197.37</f>
        <v>197.37</v>
      </c>
      <c r="U18" s="2"/>
      <c r="V18" s="19"/>
      <c r="W18" s="2"/>
      <c r="X18" s="2">
        <f t="shared" si="2"/>
        <v>-197.37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</f>
        <v>35.799999999999997</v>
      </c>
      <c r="I19" s="2"/>
      <c r="J19" s="19"/>
      <c r="K19" s="2"/>
      <c r="L19" s="2">
        <f t="shared" si="0"/>
        <v>-35.799999999999997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--20.8</f>
        <v>20.8</v>
      </c>
      <c r="I21" s="2"/>
      <c r="J21" s="19"/>
      <c r="K21" s="2"/>
      <c r="L21" s="2">
        <f t="shared" si="0"/>
        <v>-20.8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--278.83</f>
        <v>278.83</v>
      </c>
      <c r="U21" s="2"/>
      <c r="V21" s="19"/>
      <c r="W21" s="2"/>
      <c r="X21" s="2">
        <f t="shared" si="2"/>
        <v>-278.83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--2328.89</f>
        <v>2328.89</v>
      </c>
      <c r="I22" s="2"/>
      <c r="J22" s="19"/>
      <c r="K22" s="2"/>
      <c r="L22" s="2">
        <f t="shared" si="0"/>
        <v>-2328.89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--35003.5</f>
        <v>35003.5</v>
      </c>
      <c r="U22" s="2"/>
      <c r="V22" s="19"/>
      <c r="W22" s="2"/>
      <c r="X22" s="2">
        <f t="shared" si="2"/>
        <v>-35003.5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--1769.95</f>
        <v>1769.95</v>
      </c>
      <c r="I23" s="2"/>
      <c r="J23" s="19"/>
      <c r="K23" s="2"/>
      <c r="L23" s="2">
        <f t="shared" si="0"/>
        <v>-1769.95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--14268.85</f>
        <v>14268.85</v>
      </c>
      <c r="U23" s="2"/>
      <c r="V23" s="19"/>
      <c r="W23" s="2"/>
      <c r="X23" s="2">
        <f t="shared" si="2"/>
        <v>-14268.85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--429.8</f>
        <v>429.8</v>
      </c>
      <c r="I24" s="2"/>
      <c r="J24" s="19"/>
      <c r="K24" s="2"/>
      <c r="L24" s="2">
        <f t="shared" si="0"/>
        <v>-429.8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--1667.96</f>
        <v>1667.96</v>
      </c>
      <c r="U24" s="2"/>
      <c r="V24" s="19"/>
      <c r="W24" s="2"/>
      <c r="X24" s="2">
        <f t="shared" si="2"/>
        <v>-1667.96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--54384.72</f>
        <v>54384.72</v>
      </c>
      <c r="I26" s="2"/>
      <c r="J26" s="19"/>
      <c r="K26" s="2"/>
      <c r="L26" s="2">
        <f t="shared" si="0"/>
        <v>-54384.72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--382804.91</f>
        <v>382804.91</v>
      </c>
      <c r="U26" s="2"/>
      <c r="V26" s="19"/>
      <c r="W26" s="2"/>
      <c r="X26" s="2">
        <f t="shared" si="2"/>
        <v>-382804.91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--22053.6</f>
        <v>22053.599999999999</v>
      </c>
      <c r="I27" s="2"/>
      <c r="J27" s="19"/>
      <c r="K27" s="2"/>
      <c r="L27" s="2">
        <f t="shared" si="0"/>
        <v>-22053.599999999999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--153087.22</f>
        <v>153087.22</v>
      </c>
      <c r="U27" s="2"/>
      <c r="V27" s="19"/>
      <c r="W27" s="2"/>
      <c r="X27" s="2">
        <f t="shared" si="2"/>
        <v>-153087.22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--6854.18</f>
        <v>6854.18</v>
      </c>
      <c r="I28" s="2"/>
      <c r="J28" s="19"/>
      <c r="K28" s="2"/>
      <c r="L28" s="2">
        <f t="shared" si="0"/>
        <v>-6854.18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--54783.68</f>
        <v>54783.68</v>
      </c>
      <c r="U28" s="2"/>
      <c r="V28" s="19"/>
      <c r="W28" s="2"/>
      <c r="X28" s="2">
        <f t="shared" si="2"/>
        <v>-54783.68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--30454.88</f>
        <v>30454.880000000001</v>
      </c>
      <c r="I29" s="2"/>
      <c r="J29" s="19"/>
      <c r="K29" s="2"/>
      <c r="L29" s="2">
        <f t="shared" si="0"/>
        <v>-30454.880000000001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--40246.04</f>
        <v>40246.04</v>
      </c>
      <c r="U29" s="2"/>
      <c r="V29" s="19"/>
      <c r="W29" s="2"/>
      <c r="X29" s="2">
        <f t="shared" si="2"/>
        <v>-40246.04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--1157.64</f>
        <v>1157.6400000000001</v>
      </c>
      <c r="I30" s="2"/>
      <c r="J30" s="19"/>
      <c r="K30" s="2"/>
      <c r="L30" s="2">
        <f t="shared" si="0"/>
        <v>-1157.6400000000001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--12489.16</f>
        <v>12489.16</v>
      </c>
      <c r="U30" s="2"/>
      <c r="V30" s="19"/>
      <c r="W30" s="2"/>
      <c r="X30" s="2">
        <f t="shared" si="2"/>
        <v>-12489.16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--4950.17</f>
        <v>4950.17</v>
      </c>
      <c r="I31" s="2"/>
      <c r="J31" s="19"/>
      <c r="K31" s="2"/>
      <c r="L31" s="2">
        <f t="shared" si="0"/>
        <v>-4950.17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--96956.61</f>
        <v>96956.61</v>
      </c>
      <c r="U31" s="2"/>
      <c r="V31" s="19"/>
      <c r="W31" s="2"/>
      <c r="X31" s="2">
        <f t="shared" si="2"/>
        <v>-96956.61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 t="shared" ref="H32:H33" si="6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--71.95</f>
        <v>71.95</v>
      </c>
      <c r="U32" s="2"/>
      <c r="V32" s="19"/>
      <c r="W32" s="2"/>
      <c r="X32" s="2">
        <f t="shared" si="2"/>
        <v>-71.95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5"/>
        <v>0</v>
      </c>
      <c r="Q33" s="2"/>
      <c r="R33" s="19"/>
      <c r="S33" s="2"/>
      <c r="T33" s="2">
        <f>--9.99</f>
        <v>9.99</v>
      </c>
      <c r="U33" s="2"/>
      <c r="V33" s="19"/>
      <c r="W33" s="2"/>
      <c r="X33" s="2">
        <f t="shared" si="2"/>
        <v>-9.99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"4100", " - ", "NON-TAXABLE SALES")</f>
        <v xml:space="preserve">          4100 - NON-TAXABLE SALES</v>
      </c>
      <c r="C34" s="11"/>
      <c r="D34" s="2">
        <f>--107456.48</f>
        <v>107456.48</v>
      </c>
      <c r="E34" s="2"/>
      <c r="F34" s="19"/>
      <c r="G34" s="2"/>
      <c r="H34" s="2">
        <f>--135.79</f>
        <v>135.79</v>
      </c>
      <c r="I34" s="2"/>
      <c r="J34" s="19"/>
      <c r="K34" s="2"/>
      <c r="L34" s="2">
        <f t="shared" si="0"/>
        <v>107320.69</v>
      </c>
      <c r="M34" s="2"/>
      <c r="N34" s="19">
        <f t="shared" si="1"/>
        <v>790.34310332130497</v>
      </c>
      <c r="O34" s="11"/>
      <c r="P34" s="2">
        <f>--594454.86</f>
        <v>594454.86</v>
      </c>
      <c r="Q34" s="2"/>
      <c r="R34" s="19"/>
      <c r="S34" s="2"/>
      <c r="T34" s="2">
        <f>--164479.81</f>
        <v>164479.81</v>
      </c>
      <c r="U34" s="2"/>
      <c r="V34" s="19"/>
      <c r="W34" s="2"/>
      <c r="X34" s="2">
        <f t="shared" si="2"/>
        <v>429975.05</v>
      </c>
      <c r="Y34" s="2"/>
      <c r="Z34" s="19">
        <f t="shared" si="3"/>
        <v>2.6141509404710521</v>
      </c>
    </row>
    <row r="35" spans="1:26" s="24" customFormat="1" hidden="1" outlineLevel="1" x14ac:dyDescent="0.25">
      <c r="A35" s="44"/>
      <c r="B35" s="11" t="str">
        <f>CONCATENATE("          ", "4101", " - ", "NON-TAXABLE SALES-NEW TEXT")</f>
        <v xml:space="preserve">          4101 - NON-TAXABLE SALES-NEW TEXT</v>
      </c>
      <c r="C35" s="11"/>
      <c r="D35" s="2">
        <f t="shared" ref="D35:D48" si="7">0</f>
        <v>0</v>
      </c>
      <c r="E35" s="2"/>
      <c r="F35" s="19"/>
      <c r="G35" s="2"/>
      <c r="H35" s="2">
        <f>--7260.05</f>
        <v>7260.05</v>
      </c>
      <c r="I35" s="2"/>
      <c r="J35" s="19"/>
      <c r="K35" s="2"/>
      <c r="L35" s="2">
        <f t="shared" si="0"/>
        <v>-7260.05</v>
      </c>
      <c r="M35" s="2"/>
      <c r="N35" s="19">
        <f t="shared" si="1"/>
        <v>-1</v>
      </c>
      <c r="O35" s="11"/>
      <c r="P35" s="2">
        <f t="shared" ref="P35:P55" si="8">0</f>
        <v>0</v>
      </c>
      <c r="Q35" s="2"/>
      <c r="R35" s="19"/>
      <c r="S35" s="2"/>
      <c r="T35" s="2">
        <f>--77664.89</f>
        <v>77664.89</v>
      </c>
      <c r="U35" s="2"/>
      <c r="V35" s="19"/>
      <c r="W35" s="2"/>
      <c r="X35" s="2">
        <f t="shared" si="2"/>
        <v>-77664.89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"4102", " - ", "NON-TAXABLE SALES-USED TEXT")</f>
        <v xml:space="preserve">          4102 - NON-TAXABLE SALES-USED TEXT</v>
      </c>
      <c r="C36" s="11"/>
      <c r="D36" s="2">
        <f t="shared" si="7"/>
        <v>0</v>
      </c>
      <c r="E36" s="2"/>
      <c r="F36" s="19"/>
      <c r="G36" s="2"/>
      <c r="H36" s="2">
        <f>--2341.65</f>
        <v>2341.65</v>
      </c>
      <c r="I36" s="2"/>
      <c r="J36" s="19"/>
      <c r="K36" s="2"/>
      <c r="L36" s="2">
        <f t="shared" si="0"/>
        <v>-2341.65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--32712.47</f>
        <v>32712.47</v>
      </c>
      <c r="U36" s="2"/>
      <c r="V36" s="19"/>
      <c r="W36" s="2"/>
      <c r="X36" s="2">
        <f t="shared" si="2"/>
        <v>-32712.47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 t="shared" si="7"/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8"/>
        <v>0</v>
      </c>
      <c r="Q37" s="2"/>
      <c r="R37" s="19"/>
      <c r="S37" s="2"/>
      <c r="T37" s="2">
        <f>--284.97</f>
        <v>284.97000000000003</v>
      </c>
      <c r="U37" s="2"/>
      <c r="V37" s="19"/>
      <c r="W37" s="2"/>
      <c r="X37" s="2">
        <f t="shared" si="2"/>
        <v>-284.97000000000003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 t="shared" si="7"/>
        <v>0</v>
      </c>
      <c r="E38" s="2"/>
      <c r="F38" s="19"/>
      <c r="G38" s="2"/>
      <c r="H38" s="2">
        <f>--6767.67</f>
        <v>6767.67</v>
      </c>
      <c r="I38" s="2"/>
      <c r="J38" s="19"/>
      <c r="K38" s="2"/>
      <c r="L38" s="2">
        <f t="shared" si="0"/>
        <v>-6767.67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--293475.52</f>
        <v>293475.52</v>
      </c>
      <c r="U38" s="2"/>
      <c r="V38" s="19"/>
      <c r="W38" s="2"/>
      <c r="X38" s="2">
        <f t="shared" si="2"/>
        <v>-293475.52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 t="shared" si="7"/>
        <v>0</v>
      </c>
      <c r="E39" s="2"/>
      <c r="F39" s="19"/>
      <c r="G39" s="2"/>
      <c r="H39" s="2">
        <f>--1655.95</f>
        <v>1655.95</v>
      </c>
      <c r="I39" s="2"/>
      <c r="J39" s="19"/>
      <c r="K39" s="2"/>
      <c r="L39" s="2">
        <f t="shared" si="0"/>
        <v>-1655.95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--1655.95</f>
        <v>1655.95</v>
      </c>
      <c r="U39" s="2"/>
      <c r="V39" s="19"/>
      <c r="W39" s="2"/>
      <c r="X39" s="2">
        <f t="shared" si="2"/>
        <v>-1655.95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 t="shared" si="7"/>
        <v>0</v>
      </c>
      <c r="E40" s="2"/>
      <c r="F40" s="19"/>
      <c r="G40" s="2"/>
      <c r="H40" s="2">
        <f>--97.3</f>
        <v>97.3</v>
      </c>
      <c r="I40" s="2"/>
      <c r="J40" s="19"/>
      <c r="K40" s="2"/>
      <c r="L40" s="2">
        <f t="shared" si="0"/>
        <v>-97.3</v>
      </c>
      <c r="M40" s="2"/>
      <c r="N40" s="19">
        <f t="shared" si="1"/>
        <v>-1</v>
      </c>
      <c r="O40" s="11"/>
      <c r="P40" s="2">
        <f t="shared" si="8"/>
        <v>0</v>
      </c>
      <c r="Q40" s="2"/>
      <c r="R40" s="19"/>
      <c r="S40" s="2"/>
      <c r="T40" s="2">
        <f>--205.63</f>
        <v>205.63</v>
      </c>
      <c r="U40" s="2"/>
      <c r="V40" s="19"/>
      <c r="W40" s="2"/>
      <c r="X40" s="2">
        <f t="shared" si="2"/>
        <v>-205.63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 t="shared" si="7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si="8"/>
        <v>0</v>
      </c>
      <c r="Q41" s="2"/>
      <c r="R41" s="19"/>
      <c r="S41" s="2"/>
      <c r="T41" s="2">
        <f>--52.68</f>
        <v>52.68</v>
      </c>
      <c r="U41" s="2"/>
      <c r="V41" s="19"/>
      <c r="W41" s="2"/>
      <c r="X41" s="2">
        <f t="shared" si="2"/>
        <v>-52.68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 t="shared" si="7"/>
        <v>0</v>
      </c>
      <c r="E42" s="2"/>
      <c r="F42" s="19"/>
      <c r="G42" s="2"/>
      <c r="H42" s="2">
        <f>--160.95</f>
        <v>160.94999999999999</v>
      </c>
      <c r="I42" s="2"/>
      <c r="J42" s="19"/>
      <c r="K42" s="2"/>
      <c r="L42" s="2">
        <f t="shared" si="0"/>
        <v>-160.94999999999999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--2831.69</f>
        <v>2831.69</v>
      </c>
      <c r="U42" s="2"/>
      <c r="V42" s="19"/>
      <c r="W42" s="2"/>
      <c r="X42" s="2">
        <f t="shared" si="2"/>
        <v>-2831.69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"4131", " - ", "NON-TAXABLE SALES-FOOD")</f>
        <v xml:space="preserve">          4131 - NON-TAXABLE SALES-FOOD</v>
      </c>
      <c r="C43" s="11"/>
      <c r="D43" s="2">
        <f t="shared" si="7"/>
        <v>0</v>
      </c>
      <c r="E43" s="2"/>
      <c r="F43" s="19"/>
      <c r="G43" s="2"/>
      <c r="H43" s="2">
        <f>--1521.48</f>
        <v>1521.48</v>
      </c>
      <c r="I43" s="2"/>
      <c r="J43" s="19"/>
      <c r="K43" s="2"/>
      <c r="L43" s="2">
        <f t="shared" si="0"/>
        <v>-1521.48</v>
      </c>
      <c r="M43" s="2"/>
      <c r="N43" s="19">
        <f t="shared" si="1"/>
        <v>-1</v>
      </c>
      <c r="O43" s="11"/>
      <c r="P43" s="2">
        <f t="shared" si="8"/>
        <v>0</v>
      </c>
      <c r="Q43" s="2"/>
      <c r="R43" s="19"/>
      <c r="S43" s="2"/>
      <c r="T43" s="2">
        <f>--5525.44</f>
        <v>5525.44</v>
      </c>
      <c r="U43" s="2"/>
      <c r="V43" s="19"/>
      <c r="W43" s="2"/>
      <c r="X43" s="2">
        <f t="shared" si="2"/>
        <v>-5525.44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"4132", " - ", "NON-TAXABLE SALES-JUICE")</f>
        <v xml:space="preserve">          4132 - NON-TAXABLE SALES-JUICE</v>
      </c>
      <c r="C44" s="11"/>
      <c r="D44" s="2">
        <f t="shared" si="7"/>
        <v>0</v>
      </c>
      <c r="E44" s="2"/>
      <c r="F44" s="19"/>
      <c r="G44" s="2"/>
      <c r="H44" s="2">
        <f t="shared" ref="H44:H47" si="9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8"/>
        <v>0</v>
      </c>
      <c r="Q44" s="2"/>
      <c r="R44" s="19"/>
      <c r="S44" s="2"/>
      <c r="T44" s="2">
        <f>--22.49</f>
        <v>22.49</v>
      </c>
      <c r="U44" s="2"/>
      <c r="V44" s="19"/>
      <c r="W44" s="2"/>
      <c r="X44" s="2">
        <f t="shared" si="2"/>
        <v>-22.49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"4133", " - ", "NON-TAXABLE SALES-CANDY")</f>
        <v xml:space="preserve">          4133 - NON-TAXABLE SALES-CANDY</v>
      </c>
      <c r="C45" s="11"/>
      <c r="D45" s="2">
        <f t="shared" si="7"/>
        <v>0</v>
      </c>
      <c r="E45" s="2"/>
      <c r="F45" s="19"/>
      <c r="G45" s="2"/>
      <c r="H45" s="2">
        <f t="shared" si="9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8"/>
        <v>0</v>
      </c>
      <c r="Q45" s="2"/>
      <c r="R45" s="19"/>
      <c r="S45" s="2"/>
      <c r="T45" s="2">
        <f>--80.71</f>
        <v>80.709999999999994</v>
      </c>
      <c r="U45" s="2"/>
      <c r="V45" s="19"/>
      <c r="W45" s="2"/>
      <c r="X45" s="2">
        <f t="shared" si="2"/>
        <v>-80.709999999999994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"4134", " - ", "NON-TAXABLE SALES-SODA")</f>
        <v xml:space="preserve">          4134 - NON-TAXABLE SALES-SODA</v>
      </c>
      <c r="C46" s="11"/>
      <c r="D46" s="2">
        <f t="shared" si="7"/>
        <v>0</v>
      </c>
      <c r="E46" s="2"/>
      <c r="F46" s="19"/>
      <c r="G46" s="2"/>
      <c r="H46" s="2">
        <f t="shared" si="9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8"/>
        <v>0</v>
      </c>
      <c r="Q46" s="2"/>
      <c r="R46" s="19"/>
      <c r="S46" s="2"/>
      <c r="T46" s="2">
        <f>--45.53</f>
        <v>45.53</v>
      </c>
      <c r="U46" s="2"/>
      <c r="V46" s="19"/>
      <c r="W46" s="2"/>
      <c r="X46" s="2">
        <f t="shared" si="2"/>
        <v>-45.53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"4137", " - ", "NON-TAXABLE SALES-WATER")</f>
        <v xml:space="preserve">          4137 - NON-TAXABLE SALES-WATER</v>
      </c>
      <c r="C47" s="11"/>
      <c r="D47" s="2">
        <f t="shared" si="7"/>
        <v>0</v>
      </c>
      <c r="E47" s="2"/>
      <c r="F47" s="19"/>
      <c r="G47" s="2"/>
      <c r="H47" s="2">
        <f t="shared" si="9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8"/>
        <v>0</v>
      </c>
      <c r="Q47" s="2"/>
      <c r="R47" s="19"/>
      <c r="S47" s="2"/>
      <c r="T47" s="2">
        <f>--68.25</f>
        <v>68.25</v>
      </c>
      <c r="U47" s="2"/>
      <c r="V47" s="19"/>
      <c r="W47" s="2"/>
      <c r="X47" s="2">
        <f t="shared" si="2"/>
        <v>-68.25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"4140", " - ", "NON-TAXABLE SALES-LOGO CLOTHIN")</f>
        <v xml:space="preserve">          4140 - NON-TAXABLE SALES-LOGO CLOTHIN</v>
      </c>
      <c r="C48" s="11"/>
      <c r="D48" s="2">
        <f t="shared" si="7"/>
        <v>0</v>
      </c>
      <c r="E48" s="2"/>
      <c r="F48" s="19"/>
      <c r="G48" s="2"/>
      <c r="H48" s="2">
        <f>--13163.04</f>
        <v>13163.04</v>
      </c>
      <c r="I48" s="2"/>
      <c r="J48" s="19"/>
      <c r="K48" s="2"/>
      <c r="L48" s="2">
        <f t="shared" si="0"/>
        <v>-13163.04</v>
      </c>
      <c r="M48" s="2"/>
      <c r="N48" s="19">
        <f t="shared" si="1"/>
        <v>-1</v>
      </c>
      <c r="O48" s="11"/>
      <c r="P48" s="2">
        <f t="shared" si="8"/>
        <v>0</v>
      </c>
      <c r="Q48" s="2"/>
      <c r="R48" s="19"/>
      <c r="S48" s="2"/>
      <c r="T48" s="2">
        <f>--30615.48</f>
        <v>30615.48</v>
      </c>
      <c r="U48" s="2"/>
      <c r="V48" s="19"/>
      <c r="W48" s="2"/>
      <c r="X48" s="2">
        <f t="shared" si="2"/>
        <v>-30615.48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"4141", " - ", "NON-TAXABLE SALES-LOGO GIFTS")</f>
        <v xml:space="preserve">          4141 - NON-TAXABLE SALES-LOGO GIFTS</v>
      </c>
      <c r="C49" s="11"/>
      <c r="D49" s="2">
        <f>-460.55</f>
        <v>-460.55</v>
      </c>
      <c r="E49" s="2"/>
      <c r="F49" s="19"/>
      <c r="G49" s="2"/>
      <c r="H49" s="2">
        <f>--437.71</f>
        <v>437.71</v>
      </c>
      <c r="I49" s="2"/>
      <c r="J49" s="19"/>
      <c r="K49" s="2"/>
      <c r="L49" s="2">
        <f t="shared" si="0"/>
        <v>-898.26</v>
      </c>
      <c r="M49" s="2"/>
      <c r="N49" s="19">
        <f t="shared" si="1"/>
        <v>-2.0521806675652829</v>
      </c>
      <c r="O49" s="11"/>
      <c r="P49" s="2">
        <f t="shared" si="8"/>
        <v>0</v>
      </c>
      <c r="Q49" s="2"/>
      <c r="R49" s="19"/>
      <c r="S49" s="2"/>
      <c r="T49" s="2">
        <f>--3382.7</f>
        <v>3382.7</v>
      </c>
      <c r="U49" s="2"/>
      <c r="V49" s="19"/>
      <c r="W49" s="2"/>
      <c r="X49" s="2">
        <f t="shared" si="2"/>
        <v>-3382.7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"4142", " - ", "NON-TAXABLE SALES-EVERYDAY GIF")</f>
        <v xml:space="preserve">          4142 - NON-TAXABLE SALES-EVERYDAY GIF</v>
      </c>
      <c r="C50" s="11"/>
      <c r="D50" s="2">
        <f t="shared" ref="D50:D53" si="10">0</f>
        <v>0</v>
      </c>
      <c r="E50" s="2"/>
      <c r="F50" s="19"/>
      <c r="G50" s="2"/>
      <c r="H50" s="2">
        <f>--310.68</f>
        <v>310.68</v>
      </c>
      <c r="I50" s="2"/>
      <c r="J50" s="19"/>
      <c r="K50" s="2"/>
      <c r="L50" s="2">
        <f t="shared" si="0"/>
        <v>-310.68</v>
      </c>
      <c r="M50" s="2"/>
      <c r="N50" s="19">
        <f t="shared" si="1"/>
        <v>-1</v>
      </c>
      <c r="O50" s="11"/>
      <c r="P50" s="2">
        <f t="shared" si="8"/>
        <v>0</v>
      </c>
      <c r="Q50" s="2"/>
      <c r="R50" s="19"/>
      <c r="S50" s="2"/>
      <c r="T50" s="2">
        <f>--1320.41</f>
        <v>1320.41</v>
      </c>
      <c r="U50" s="2"/>
      <c r="V50" s="19"/>
      <c r="W50" s="2"/>
      <c r="X50" s="2">
        <f t="shared" si="2"/>
        <v>-1320.41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"4143", " - ", "NON-TAXABLE SALES-CARDS")</f>
        <v xml:space="preserve">          4143 - NON-TAXABLE SALES-CARDS</v>
      </c>
      <c r="C51" s="11"/>
      <c r="D51" s="2">
        <f t="shared" si="10"/>
        <v>0</v>
      </c>
      <c r="E51" s="2"/>
      <c r="F51" s="19"/>
      <c r="G51" s="2"/>
      <c r="H51" s="2">
        <f>--9.99</f>
        <v>9.99</v>
      </c>
      <c r="I51" s="2"/>
      <c r="J51" s="19"/>
      <c r="K51" s="2"/>
      <c r="L51" s="2">
        <f t="shared" si="0"/>
        <v>-9.99</v>
      </c>
      <c r="M51" s="2"/>
      <c r="N51" s="19">
        <f t="shared" si="1"/>
        <v>-1</v>
      </c>
      <c r="O51" s="11"/>
      <c r="P51" s="2">
        <f t="shared" si="8"/>
        <v>0</v>
      </c>
      <c r="Q51" s="2"/>
      <c r="R51" s="19"/>
      <c r="S51" s="2"/>
      <c r="T51" s="2">
        <f>--29.97</f>
        <v>29.97</v>
      </c>
      <c r="U51" s="2"/>
      <c r="V51" s="19"/>
      <c r="W51" s="2"/>
      <c r="X51" s="2">
        <f t="shared" si="2"/>
        <v>-29.97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"4144", " - ", "NON-TAXABLE SALES-ACCESSORIES")</f>
        <v xml:space="preserve">          4144 - NON-TAXABLE SALES-ACCESSORIES</v>
      </c>
      <c r="C52" s="11"/>
      <c r="D52" s="2">
        <f t="shared" si="10"/>
        <v>0</v>
      </c>
      <c r="E52" s="2"/>
      <c r="F52" s="19"/>
      <c r="G52" s="2"/>
      <c r="H52" s="2">
        <f>--154</f>
        <v>154</v>
      </c>
      <c r="I52" s="2"/>
      <c r="J52" s="19"/>
      <c r="K52" s="2"/>
      <c r="L52" s="2">
        <f t="shared" si="0"/>
        <v>-154</v>
      </c>
      <c r="M52" s="2"/>
      <c r="N52" s="19">
        <f t="shared" si="1"/>
        <v>-1</v>
      </c>
      <c r="O52" s="11"/>
      <c r="P52" s="2">
        <f t="shared" si="8"/>
        <v>0</v>
      </c>
      <c r="Q52" s="2"/>
      <c r="R52" s="19"/>
      <c r="S52" s="2"/>
      <c r="T52" s="2">
        <f>--369.75</f>
        <v>369.75</v>
      </c>
      <c r="U52" s="2"/>
      <c r="V52" s="19"/>
      <c r="W52" s="2"/>
      <c r="X52" s="2">
        <f t="shared" si="2"/>
        <v>-369.75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"4145", " - ", "NON-TAXABLE SALES-SPECIAL ORDE")</f>
        <v xml:space="preserve">          4145 - NON-TAXABLE SALES-SPECIAL ORDE</v>
      </c>
      <c r="C53" s="11"/>
      <c r="D53" s="2">
        <f t="shared" si="10"/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8"/>
        <v>0</v>
      </c>
      <c r="Q53" s="2"/>
      <c r="R53" s="19"/>
      <c r="S53" s="2"/>
      <c r="T53" s="2">
        <f>--35846</f>
        <v>35846</v>
      </c>
      <c r="U53" s="2"/>
      <c r="V53" s="19"/>
      <c r="W53" s="2"/>
      <c r="X53" s="2">
        <f t="shared" si="2"/>
        <v>-35846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"4146", " - ", "NON-TAXABLE SALES-COIN OP MACH")</f>
        <v xml:space="preserve">          4146 - NON-TAXABLE SALES-COIN OP MACH</v>
      </c>
      <c r="C54" s="11"/>
      <c r="D54" s="2">
        <f>-7492.95</f>
        <v>-7492.95</v>
      </c>
      <c r="E54" s="2"/>
      <c r="F54" s="19"/>
      <c r="G54" s="2"/>
      <c r="H54" s="2">
        <f>--21.3</f>
        <v>21.3</v>
      </c>
      <c r="I54" s="2"/>
      <c r="J54" s="19"/>
      <c r="K54" s="2"/>
      <c r="L54" s="2">
        <f t="shared" si="0"/>
        <v>-7514.25</v>
      </c>
      <c r="M54" s="2"/>
      <c r="N54" s="19">
        <f t="shared" si="1"/>
        <v>-352.78169014084506</v>
      </c>
      <c r="O54" s="11"/>
      <c r="P54" s="2">
        <f t="shared" si="8"/>
        <v>0</v>
      </c>
      <c r="Q54" s="2"/>
      <c r="R54" s="19"/>
      <c r="S54" s="2"/>
      <c r="T54" s="2">
        <f t="shared" ref="T54:T55" si="11">--86.5</f>
        <v>86.5</v>
      </c>
      <c r="U54" s="2"/>
      <c r="V54" s="19"/>
      <c r="W54" s="2"/>
      <c r="X54" s="2">
        <f t="shared" si="2"/>
        <v>-86.5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"4147", " - ", "NON-TAXABLE SALES-MISC")</f>
        <v xml:space="preserve">          4147 - NON-TAXABLE SALES-MISC</v>
      </c>
      <c r="C55" s="11"/>
      <c r="D55" s="2">
        <f>0</f>
        <v>0</v>
      </c>
      <c r="E55" s="2"/>
      <c r="F55" s="19"/>
      <c r="G55" s="2"/>
      <c r="H55" s="2">
        <f>--38.5</f>
        <v>38.5</v>
      </c>
      <c r="I55" s="2"/>
      <c r="J55" s="19"/>
      <c r="K55" s="2"/>
      <c r="L55" s="2">
        <f t="shared" si="0"/>
        <v>-38.5</v>
      </c>
      <c r="M55" s="2"/>
      <c r="N55" s="19">
        <f t="shared" si="1"/>
        <v>-1</v>
      </c>
      <c r="O55" s="11"/>
      <c r="P55" s="2">
        <f t="shared" si="8"/>
        <v>0</v>
      </c>
      <c r="Q55" s="2"/>
      <c r="R55" s="19"/>
      <c r="S55" s="2"/>
      <c r="T55" s="2">
        <f t="shared" si="11"/>
        <v>86.5</v>
      </c>
      <c r="U55" s="2"/>
      <c r="V55" s="19"/>
      <c r="W55" s="2"/>
      <c r="X55" s="2">
        <f t="shared" si="2"/>
        <v>-86.5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"4200", " - ", "TAXABLE RETURNS")</f>
        <v xml:space="preserve">          4200 - TAXABLE RETURNS</v>
      </c>
      <c r="C56" s="11"/>
      <c r="D56" s="2">
        <f>-13940.06</f>
        <v>-13940.06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-13940.06</v>
      </c>
      <c r="M56" s="2"/>
      <c r="N56" s="19">
        <f t="shared" si="1"/>
        <v>0</v>
      </c>
      <c r="O56" s="11"/>
      <c r="P56" s="2">
        <f>-62392.97</f>
        <v>-62392.97</v>
      </c>
      <c r="Q56" s="2"/>
      <c r="R56" s="19"/>
      <c r="S56" s="2"/>
      <c r="T56" s="2">
        <f>0</f>
        <v>0</v>
      </c>
      <c r="U56" s="2"/>
      <c r="V56" s="19"/>
      <c r="W56" s="2"/>
      <c r="X56" s="2">
        <f t="shared" si="2"/>
        <v>-62392.97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"4201", " - ", "SALES RETURN TAXABLE-NEW TEXT")</f>
        <v xml:space="preserve">          4201 - SALES RETURN TAXABLE-NEW TEXT</v>
      </c>
      <c r="C57" s="11"/>
      <c r="D57" s="2">
        <f t="shared" ref="D57:D68" si="12">0</f>
        <v>0</v>
      </c>
      <c r="E57" s="2"/>
      <c r="F57" s="19"/>
      <c r="G57" s="2"/>
      <c r="H57" s="2">
        <f>-1512.25</f>
        <v>-1512.25</v>
      </c>
      <c r="I57" s="2"/>
      <c r="J57" s="19"/>
      <c r="K57" s="2"/>
      <c r="L57" s="2">
        <f t="shared" si="0"/>
        <v>1512.25</v>
      </c>
      <c r="M57" s="2"/>
      <c r="N57" s="19">
        <f t="shared" si="1"/>
        <v>-1</v>
      </c>
      <c r="O57" s="11"/>
      <c r="P57" s="2">
        <f t="shared" ref="P57:P68" si="13">0</f>
        <v>0</v>
      </c>
      <c r="Q57" s="2"/>
      <c r="R57" s="19"/>
      <c r="S57" s="2"/>
      <c r="T57" s="2">
        <f>-33761.24</f>
        <v>-33761.24</v>
      </c>
      <c r="U57" s="2"/>
      <c r="V57" s="19"/>
      <c r="W57" s="2"/>
      <c r="X57" s="2">
        <f t="shared" si="2"/>
        <v>33761.24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"4202", " - ", "SALES RETURN TAXABLE-USED TEXT")</f>
        <v xml:space="preserve">          4202 - SALES RETURN TAXABLE-USED TEXT</v>
      </c>
      <c r="C58" s="11"/>
      <c r="D58" s="2">
        <f t="shared" si="12"/>
        <v>0</v>
      </c>
      <c r="E58" s="2"/>
      <c r="F58" s="19"/>
      <c r="G58" s="2"/>
      <c r="H58" s="2">
        <f>-136.05</f>
        <v>-136.05000000000001</v>
      </c>
      <c r="I58" s="2"/>
      <c r="J58" s="19"/>
      <c r="K58" s="2"/>
      <c r="L58" s="2">
        <f t="shared" si="0"/>
        <v>136.05000000000001</v>
      </c>
      <c r="M58" s="2"/>
      <c r="N58" s="19">
        <f t="shared" si="1"/>
        <v>-1</v>
      </c>
      <c r="O58" s="11"/>
      <c r="P58" s="2">
        <f t="shared" si="13"/>
        <v>0</v>
      </c>
      <c r="Q58" s="2"/>
      <c r="R58" s="19"/>
      <c r="S58" s="2"/>
      <c r="T58" s="2">
        <f>-10529</f>
        <v>-10529</v>
      </c>
      <c r="U58" s="2"/>
      <c r="V58" s="19"/>
      <c r="W58" s="2"/>
      <c r="X58" s="2">
        <f t="shared" si="2"/>
        <v>10529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"4204", " - ", "SALES RETURN TAXABLE-DIGITAL T")</f>
        <v xml:space="preserve">          4204 - SALES RETURN TAXABLE-DIGITAL T</v>
      </c>
      <c r="C59" s="11"/>
      <c r="D59" s="2">
        <f t="shared" si="12"/>
        <v>0</v>
      </c>
      <c r="E59" s="2"/>
      <c r="F59" s="19"/>
      <c r="G59" s="2"/>
      <c r="H59" s="2">
        <f>-383.9</f>
        <v>-383.9</v>
      </c>
      <c r="I59" s="2"/>
      <c r="J59" s="19"/>
      <c r="K59" s="2"/>
      <c r="L59" s="2">
        <f t="shared" si="0"/>
        <v>383.9</v>
      </c>
      <c r="M59" s="2"/>
      <c r="N59" s="19">
        <f t="shared" si="1"/>
        <v>-1</v>
      </c>
      <c r="O59" s="11"/>
      <c r="P59" s="2">
        <f t="shared" si="13"/>
        <v>0</v>
      </c>
      <c r="Q59" s="2"/>
      <c r="R59" s="19"/>
      <c r="S59" s="2"/>
      <c r="T59" s="2">
        <f>-1630.85</f>
        <v>-1630.85</v>
      </c>
      <c r="U59" s="2"/>
      <c r="V59" s="19"/>
      <c r="W59" s="2"/>
      <c r="X59" s="2">
        <f t="shared" si="2"/>
        <v>1630.85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"4226", " - ", "SALES RETURN TAXABLE-WRITING I")</f>
        <v xml:space="preserve">          4226 - SALES RETURN TAXABLE-WRITING I</v>
      </c>
      <c r="C60" s="11"/>
      <c r="D60" s="2">
        <f t="shared" si="12"/>
        <v>0</v>
      </c>
      <c r="E60" s="2"/>
      <c r="F60" s="19"/>
      <c r="G60" s="2"/>
      <c r="H60" s="2">
        <f>-5.36</f>
        <v>-5.36</v>
      </c>
      <c r="I60" s="2"/>
      <c r="J60" s="19"/>
      <c r="K60" s="2"/>
      <c r="L60" s="2">
        <f t="shared" si="0"/>
        <v>5.36</v>
      </c>
      <c r="M60" s="2"/>
      <c r="N60" s="19">
        <f t="shared" si="1"/>
        <v>-1</v>
      </c>
      <c r="O60" s="11"/>
      <c r="P60" s="2">
        <f t="shared" si="13"/>
        <v>0</v>
      </c>
      <c r="Q60" s="2"/>
      <c r="R60" s="19"/>
      <c r="S60" s="2"/>
      <c r="T60" s="2">
        <f>-34.23</f>
        <v>-34.229999999999997</v>
      </c>
      <c r="U60" s="2"/>
      <c r="V60" s="19"/>
      <c r="W60" s="2"/>
      <c r="X60" s="2">
        <f t="shared" si="2"/>
        <v>34.229999999999997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"4227", " - ", "SALES RETURN TAXABLE-SCHOOL SU")</f>
        <v xml:space="preserve">          4227 - SALES RETURN TAXABLE-SCHOOL SU</v>
      </c>
      <c r="C61" s="11"/>
      <c r="D61" s="2">
        <f t="shared" si="12"/>
        <v>0</v>
      </c>
      <c r="E61" s="2"/>
      <c r="F61" s="19"/>
      <c r="G61" s="2"/>
      <c r="H61" s="2">
        <f>-9.99</f>
        <v>-9.99</v>
      </c>
      <c r="I61" s="2"/>
      <c r="J61" s="19"/>
      <c r="K61" s="2"/>
      <c r="L61" s="2">
        <f t="shared" si="0"/>
        <v>9.99</v>
      </c>
      <c r="M61" s="2"/>
      <c r="N61" s="19">
        <f t="shared" si="1"/>
        <v>-1</v>
      </c>
      <c r="O61" s="11"/>
      <c r="P61" s="2">
        <f t="shared" si="13"/>
        <v>0</v>
      </c>
      <c r="Q61" s="2"/>
      <c r="R61" s="19"/>
      <c r="S61" s="2"/>
      <c r="T61" s="2">
        <f>-578.66</f>
        <v>-578.66</v>
      </c>
      <c r="U61" s="2"/>
      <c r="V61" s="19"/>
      <c r="W61" s="2"/>
      <c r="X61" s="2">
        <f t="shared" si="2"/>
        <v>578.66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"4228", " - ", "SALES RETURN TAXABLE-ART/TECH")</f>
        <v xml:space="preserve">          4228 - SALES RETURN TAXABLE-ART/TECH</v>
      </c>
      <c r="C62" s="11"/>
      <c r="D62" s="2">
        <f t="shared" si="12"/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 t="shared" si="13"/>
        <v>0</v>
      </c>
      <c r="Q62" s="2"/>
      <c r="R62" s="19"/>
      <c r="S62" s="2"/>
      <c r="T62" s="2">
        <f>-222.2</f>
        <v>-222.2</v>
      </c>
      <c r="U62" s="2"/>
      <c r="V62" s="19"/>
      <c r="W62" s="2"/>
      <c r="X62" s="2">
        <f t="shared" si="2"/>
        <v>222.2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"4240", " - ", "SALES RETURN TAXABLE-LOGO CLOT")</f>
        <v xml:space="preserve">          4240 - SALES RETURN TAXABLE-LOGO CLOT</v>
      </c>
      <c r="C63" s="11"/>
      <c r="D63" s="2">
        <f t="shared" si="12"/>
        <v>0</v>
      </c>
      <c r="E63" s="2"/>
      <c r="F63" s="19"/>
      <c r="G63" s="2"/>
      <c r="H63" s="2">
        <f>-2239.56</f>
        <v>-2239.56</v>
      </c>
      <c r="I63" s="2"/>
      <c r="J63" s="19"/>
      <c r="K63" s="2"/>
      <c r="L63" s="2">
        <f t="shared" si="0"/>
        <v>2239.56</v>
      </c>
      <c r="M63" s="2"/>
      <c r="N63" s="19">
        <f t="shared" si="1"/>
        <v>-1</v>
      </c>
      <c r="O63" s="11"/>
      <c r="P63" s="2">
        <f t="shared" si="13"/>
        <v>0</v>
      </c>
      <c r="Q63" s="2"/>
      <c r="R63" s="19"/>
      <c r="S63" s="2"/>
      <c r="T63" s="2">
        <f>-13849.52</f>
        <v>-13849.52</v>
      </c>
      <c r="U63" s="2"/>
      <c r="V63" s="19"/>
      <c r="W63" s="2"/>
      <c r="X63" s="2">
        <f t="shared" si="2"/>
        <v>13849.52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"4241", " - ", "SALES RETURN TAXABLE-LOGO GIFT")</f>
        <v xml:space="preserve">          4241 - SALES RETURN TAXABLE-LOGO GIFT</v>
      </c>
      <c r="C64" s="11"/>
      <c r="D64" s="2">
        <f t="shared" si="12"/>
        <v>0</v>
      </c>
      <c r="E64" s="2"/>
      <c r="F64" s="19"/>
      <c r="G64" s="2"/>
      <c r="H64" s="2">
        <f>-379.45</f>
        <v>-379.45</v>
      </c>
      <c r="I64" s="2"/>
      <c r="J64" s="19"/>
      <c r="K64" s="2"/>
      <c r="L64" s="2">
        <f t="shared" si="0"/>
        <v>379.45</v>
      </c>
      <c r="M64" s="2"/>
      <c r="N64" s="19">
        <f t="shared" si="1"/>
        <v>-1</v>
      </c>
      <c r="O64" s="11"/>
      <c r="P64" s="2">
        <f t="shared" si="13"/>
        <v>0</v>
      </c>
      <c r="Q64" s="2"/>
      <c r="R64" s="19"/>
      <c r="S64" s="2"/>
      <c r="T64" s="2">
        <f>-2696.56</f>
        <v>-2696.56</v>
      </c>
      <c r="U64" s="2"/>
      <c r="V64" s="19"/>
      <c r="W64" s="2"/>
      <c r="X64" s="2">
        <f t="shared" si="2"/>
        <v>2696.56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"4242", " - ", "SALES RETURN TAXABLE-EVERYDAY")</f>
        <v xml:space="preserve">          4242 - SALES RETURN TAXABLE-EVERYDAY</v>
      </c>
      <c r="C65" s="11"/>
      <c r="D65" s="2">
        <f t="shared" si="12"/>
        <v>0</v>
      </c>
      <c r="E65" s="2"/>
      <c r="F65" s="19"/>
      <c r="G65" s="2"/>
      <c r="H65" s="2">
        <f>-266.95</f>
        <v>-266.95</v>
      </c>
      <c r="I65" s="2"/>
      <c r="J65" s="19"/>
      <c r="K65" s="2"/>
      <c r="L65" s="2">
        <f t="shared" si="0"/>
        <v>266.95</v>
      </c>
      <c r="M65" s="2"/>
      <c r="N65" s="19">
        <f t="shared" si="1"/>
        <v>-1</v>
      </c>
      <c r="O65" s="11"/>
      <c r="P65" s="2">
        <f t="shared" si="13"/>
        <v>0</v>
      </c>
      <c r="Q65" s="2"/>
      <c r="R65" s="19"/>
      <c r="S65" s="2"/>
      <c r="T65" s="2">
        <f>-1321.51</f>
        <v>-1321.51</v>
      </c>
      <c r="U65" s="2"/>
      <c r="V65" s="19"/>
      <c r="W65" s="2"/>
      <c r="X65" s="2">
        <f t="shared" si="2"/>
        <v>1321.51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"4243", " - ", "SALES RETURN TAXABLE-CARDS")</f>
        <v xml:space="preserve">          4243 - SALES RETURN TAXABLE-CARDS</v>
      </c>
      <c r="C66" s="11"/>
      <c r="D66" s="2">
        <f t="shared" si="12"/>
        <v>0</v>
      </c>
      <c r="E66" s="2"/>
      <c r="F66" s="19"/>
      <c r="G66" s="2"/>
      <c r="H66" s="2">
        <f>-829.55</f>
        <v>-829.55</v>
      </c>
      <c r="I66" s="2"/>
      <c r="J66" s="19"/>
      <c r="K66" s="2"/>
      <c r="L66" s="2">
        <f t="shared" si="0"/>
        <v>829.55</v>
      </c>
      <c r="M66" s="2"/>
      <c r="N66" s="19">
        <f t="shared" si="1"/>
        <v>-1</v>
      </c>
      <c r="O66" s="11"/>
      <c r="P66" s="2">
        <f t="shared" si="13"/>
        <v>0</v>
      </c>
      <c r="Q66" s="2"/>
      <c r="R66" s="19"/>
      <c r="S66" s="2"/>
      <c r="T66" s="2">
        <f>-982.92</f>
        <v>-982.92</v>
      </c>
      <c r="U66" s="2"/>
      <c r="V66" s="19"/>
      <c r="W66" s="2"/>
      <c r="X66" s="2">
        <f t="shared" si="2"/>
        <v>982.92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"4244", " - ", "SALES RETURN TAXABLE-ACCESSORI")</f>
        <v xml:space="preserve">          4244 - SALES RETURN TAXABLE-ACCESSORI</v>
      </c>
      <c r="C67" s="11"/>
      <c r="D67" s="2">
        <f t="shared" si="12"/>
        <v>0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 t="shared" si="13"/>
        <v>0</v>
      </c>
      <c r="Q67" s="2"/>
      <c r="R67" s="19"/>
      <c r="S67" s="2"/>
      <c r="T67" s="2">
        <f>-410.99</f>
        <v>-410.99</v>
      </c>
      <c r="U67" s="2"/>
      <c r="V67" s="19"/>
      <c r="W67" s="2"/>
      <c r="X67" s="2">
        <f t="shared" si="2"/>
        <v>410.99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"4245", " - ", "SALES RETURN TAXABLE-SPECIAL O")</f>
        <v xml:space="preserve">          4245 - SALES RETURN TAXABLE-SPECIAL O</v>
      </c>
      <c r="C68" s="11"/>
      <c r="D68" s="2">
        <f t="shared" si="12"/>
        <v>0</v>
      </c>
      <c r="E68" s="2"/>
      <c r="F68" s="19"/>
      <c r="G68" s="2"/>
      <c r="H68" s="2">
        <f>-363.98</f>
        <v>-363.98</v>
      </c>
      <c r="I68" s="2"/>
      <c r="J68" s="19"/>
      <c r="K68" s="2"/>
      <c r="L68" s="2">
        <f t="shared" si="0"/>
        <v>363.98</v>
      </c>
      <c r="M68" s="2"/>
      <c r="N68" s="19">
        <f t="shared" si="1"/>
        <v>-1</v>
      </c>
      <c r="O68" s="11"/>
      <c r="P68" s="2">
        <f t="shared" si="13"/>
        <v>0</v>
      </c>
      <c r="Q68" s="2"/>
      <c r="R68" s="19"/>
      <c r="S68" s="2"/>
      <c r="T68" s="2">
        <f>-1546.93</f>
        <v>-1546.93</v>
      </c>
      <c r="U68" s="2"/>
      <c r="V68" s="19"/>
      <c r="W68" s="2"/>
      <c r="X68" s="2">
        <f t="shared" si="2"/>
        <v>1546.93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"4300", " - ", "NON-TAX RETURNS")</f>
        <v xml:space="preserve">          4300 - NON-TAX RETURNS</v>
      </c>
      <c r="C69" s="11"/>
      <c r="D69" s="2">
        <f>-5693.23</f>
        <v>-5693.23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-5693.23</v>
      </c>
      <c r="M69" s="2"/>
      <c r="N69" s="19">
        <f t="shared" si="1"/>
        <v>0</v>
      </c>
      <c r="O69" s="11"/>
      <c r="P69" s="2">
        <f>-25799.47</f>
        <v>-25799.47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-25799.47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"4301", " - ", "SALES RETURN NON TAXABLE-NEW T")</f>
        <v xml:space="preserve">          4301 - SALES RETURN NON TAXABLE-NEW T</v>
      </c>
      <c r="C70" s="11"/>
      <c r="D70" s="2">
        <f t="shared" ref="D70:D75" si="14">0</f>
        <v>0</v>
      </c>
      <c r="E70" s="2"/>
      <c r="F70" s="19"/>
      <c r="G70" s="2"/>
      <c r="H70" s="2">
        <f>-535.49</f>
        <v>-535.49</v>
      </c>
      <c r="I70" s="2"/>
      <c r="J70" s="19"/>
      <c r="K70" s="2"/>
      <c r="L70" s="2">
        <f t="shared" si="0"/>
        <v>535.49</v>
      </c>
      <c r="M70" s="2"/>
      <c r="N70" s="19">
        <f t="shared" si="1"/>
        <v>-1</v>
      </c>
      <c r="O70" s="11"/>
      <c r="P70" s="2">
        <f t="shared" ref="P70:P75" si="15">0</f>
        <v>0</v>
      </c>
      <c r="Q70" s="2"/>
      <c r="R70" s="19"/>
      <c r="S70" s="2"/>
      <c r="T70" s="2">
        <f>-2376.17</f>
        <v>-2376.17</v>
      </c>
      <c r="U70" s="2"/>
      <c r="V70" s="19"/>
      <c r="W70" s="2"/>
      <c r="X70" s="2">
        <f t="shared" si="2"/>
        <v>2376.17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"4302", " - ", "SALES RETURN NON TAXABLE-TEXT")</f>
        <v xml:space="preserve">          4302 - SALES RETURN NON TAXABLE-TEXT</v>
      </c>
      <c r="C71" s="11"/>
      <c r="D71" s="2">
        <f t="shared" si="14"/>
        <v>0</v>
      </c>
      <c r="E71" s="2"/>
      <c r="F71" s="19"/>
      <c r="G71" s="2"/>
      <c r="H71" s="2">
        <f>-169.72</f>
        <v>-169.72</v>
      </c>
      <c r="I71" s="2"/>
      <c r="J71" s="19"/>
      <c r="K71" s="2"/>
      <c r="L71" s="2">
        <f t="shared" si="0"/>
        <v>169.72</v>
      </c>
      <c r="M71" s="2"/>
      <c r="N71" s="19">
        <f t="shared" si="1"/>
        <v>-1</v>
      </c>
      <c r="O71" s="11"/>
      <c r="P71" s="2">
        <f t="shared" si="15"/>
        <v>0</v>
      </c>
      <c r="Q71" s="2"/>
      <c r="R71" s="19"/>
      <c r="S71" s="2"/>
      <c r="T71" s="2">
        <f>-1316.8</f>
        <v>-1316.8</v>
      </c>
      <c r="U71" s="2"/>
      <c r="V71" s="19"/>
      <c r="W71" s="2"/>
      <c r="X71" s="2">
        <f t="shared" si="2"/>
        <v>1316.8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"4304", " - ", "SALES RETURN NON TAXABLE-DIGIT")</f>
        <v xml:space="preserve">          4304 - SALES RETURN NON TAXABLE-DIGIT</v>
      </c>
      <c r="C72" s="11"/>
      <c r="D72" s="2">
        <f t="shared" si="14"/>
        <v>0</v>
      </c>
      <c r="E72" s="2"/>
      <c r="F72" s="19"/>
      <c r="G72" s="2"/>
      <c r="H72" s="2">
        <f>-692.75</f>
        <v>-692.75</v>
      </c>
      <c r="I72" s="2"/>
      <c r="J72" s="19"/>
      <c r="K72" s="2"/>
      <c r="L72" s="2">
        <f t="shared" si="0"/>
        <v>692.75</v>
      </c>
      <c r="M72" s="2"/>
      <c r="N72" s="19">
        <f t="shared" si="1"/>
        <v>-1</v>
      </c>
      <c r="O72" s="11"/>
      <c r="P72" s="2">
        <f t="shared" si="15"/>
        <v>0</v>
      </c>
      <c r="Q72" s="2"/>
      <c r="R72" s="19"/>
      <c r="S72" s="2"/>
      <c r="T72" s="2">
        <f>-14102.11</f>
        <v>-14102.11</v>
      </c>
      <c r="U72" s="2"/>
      <c r="V72" s="19"/>
      <c r="W72" s="2"/>
      <c r="X72" s="2">
        <f t="shared" si="2"/>
        <v>14102.11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"4340", " - ", "SALES RETURN NON TAXABLE-LOGO")</f>
        <v xml:space="preserve">          4340 - SALES RETURN NON TAXABLE-LOGO</v>
      </c>
      <c r="C73" s="11"/>
      <c r="D73" s="2">
        <f t="shared" si="14"/>
        <v>0</v>
      </c>
      <c r="E73" s="2"/>
      <c r="F73" s="19"/>
      <c r="G73" s="2"/>
      <c r="H73" s="2">
        <f>-195.69</f>
        <v>-195.69</v>
      </c>
      <c r="I73" s="2"/>
      <c r="J73" s="19"/>
      <c r="K73" s="2"/>
      <c r="L73" s="2">
        <f t="shared" si="0"/>
        <v>195.69</v>
      </c>
      <c r="M73" s="2"/>
      <c r="N73" s="19">
        <f t="shared" si="1"/>
        <v>-1</v>
      </c>
      <c r="O73" s="11"/>
      <c r="P73" s="2">
        <f t="shared" si="15"/>
        <v>0</v>
      </c>
      <c r="Q73" s="2"/>
      <c r="R73" s="19"/>
      <c r="S73" s="2"/>
      <c r="T73" s="2">
        <f>-736.73</f>
        <v>-736.73</v>
      </c>
      <c r="U73" s="2"/>
      <c r="V73" s="19"/>
      <c r="W73" s="2"/>
      <c r="X73" s="2">
        <f t="shared" si="2"/>
        <v>736.73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"4341", " - ", "SALES RETURN NON TAXABLE-LOGO")</f>
        <v xml:space="preserve">          4341 - SALES RETURN NON TAXABLE-LOGO</v>
      </c>
      <c r="C74" s="11"/>
      <c r="D74" s="2">
        <f t="shared" si="14"/>
        <v>0</v>
      </c>
      <c r="E74" s="2"/>
      <c r="F74" s="19"/>
      <c r="G74" s="2"/>
      <c r="H74" s="2">
        <f t="shared" ref="H74:H76" si="16">0</f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 t="shared" si="15"/>
        <v>0</v>
      </c>
      <c r="Q74" s="2"/>
      <c r="R74" s="19"/>
      <c r="S74" s="2"/>
      <c r="T74" s="2">
        <f>-146.9</f>
        <v>-146.9</v>
      </c>
      <c r="U74" s="2"/>
      <c r="V74" s="19"/>
      <c r="W74" s="2"/>
      <c r="X74" s="2">
        <f t="shared" si="2"/>
        <v>146.9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"4342", " - ", "SALES RETURN NON TAXABLE-EVERY")</f>
        <v xml:space="preserve">          4342 - SALES RETURN NON TAXABLE-EVERY</v>
      </c>
      <c r="C75" s="11"/>
      <c r="D75" s="2">
        <f t="shared" si="14"/>
        <v>0</v>
      </c>
      <c r="E75" s="2"/>
      <c r="F75" s="19"/>
      <c r="G75" s="2"/>
      <c r="H75" s="2">
        <f t="shared" si="16"/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 t="shared" si="15"/>
        <v>0</v>
      </c>
      <c r="Q75" s="2"/>
      <c r="R75" s="19"/>
      <c r="S75" s="2"/>
      <c r="T75" s="2">
        <f>-118.7</f>
        <v>-118.7</v>
      </c>
      <c r="U75" s="2"/>
      <c r="V75" s="19"/>
      <c r="W75" s="2"/>
      <c r="X75" s="2">
        <f t="shared" si="2"/>
        <v>118.7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"4500", " - ", "SALES DISCOUNT")</f>
        <v xml:space="preserve">          4500 - SALES DISCOUNT</v>
      </c>
      <c r="C76" s="11"/>
      <c r="D76" s="2">
        <f>-7607.55</f>
        <v>-7607.55</v>
      </c>
      <c r="E76" s="2"/>
      <c r="F76" s="19"/>
      <c r="G76" s="2"/>
      <c r="H76" s="2">
        <f t="shared" si="16"/>
        <v>0</v>
      </c>
      <c r="I76" s="2"/>
      <c r="J76" s="19"/>
      <c r="K76" s="2"/>
      <c r="L76" s="2">
        <f t="shared" si="0"/>
        <v>-7607.55</v>
      </c>
      <c r="M76" s="2"/>
      <c r="N76" s="19">
        <f t="shared" si="1"/>
        <v>0</v>
      </c>
      <c r="O76" s="11"/>
      <c r="P76" s="2">
        <f>-7607.55</f>
        <v>-7607.55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-7607.55</v>
      </c>
      <c r="Y76" s="2"/>
      <c r="Z76" s="19">
        <f t="shared" si="3"/>
        <v>0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collapsed="1" x14ac:dyDescent="0.25">
      <c r="A78" s="10"/>
      <c r="B78" s="25" t="s">
        <v>256</v>
      </c>
      <c r="C78" s="10"/>
      <c r="D78" s="4">
        <f>SUM(OSRRefD16x_0)</f>
        <v>310679.2</v>
      </c>
      <c r="E78" s="4"/>
      <c r="F78" s="12">
        <f t="shared" ref="F78:F115" si="17">IF(D$12=0,0,D78/D$12)</f>
        <v>0.56443638988258804</v>
      </c>
      <c r="G78" s="4"/>
      <c r="H78" s="4">
        <f>SUM(OSRRefH16x_0)</f>
        <v>86470.499999999956</v>
      </c>
      <c r="I78" s="4"/>
      <c r="J78" s="12">
        <f t="shared" ref="J78:J115" si="18">IF(H$12=0,0,H78/H$12)</f>
        <v>0.54007259927812901</v>
      </c>
      <c r="K78" s="4"/>
      <c r="L78" s="4">
        <f t="shared" ref="L78:L115" si="19">+D78-H78</f>
        <v>224208.70000000007</v>
      </c>
      <c r="M78" s="4"/>
      <c r="N78" s="12">
        <f t="shared" ref="N78:N115" si="20">IF(H78=0,0,L78/H78)</f>
        <v>2.5928923736997032</v>
      </c>
      <c r="O78" s="10"/>
      <c r="P78" s="4">
        <f>SUM(OSRRefP16x_0)</f>
        <v>1815750.9</v>
      </c>
      <c r="Q78" s="4"/>
      <c r="R78" s="12">
        <f t="shared" ref="R78:R115" si="21">IF(P$12=0,0,P78/P$12)</f>
        <v>0.63306968860102797</v>
      </c>
      <c r="S78" s="4"/>
      <c r="T78" s="4">
        <f>SUM(OSRRefT16x_0)</f>
        <v>1540429.9300000004</v>
      </c>
      <c r="U78" s="4"/>
      <c r="V78" s="12">
        <f t="shared" ref="V78:V115" si="22">IF(T$12=0,0,T78/T$12)</f>
        <v>0.65438539337547341</v>
      </c>
      <c r="W78" s="4"/>
      <c r="X78" s="4">
        <f t="shared" ref="X78:X115" si="23">+P78-T78</f>
        <v>275320.96999999951</v>
      </c>
      <c r="Y78" s="4"/>
      <c r="Z78" s="12">
        <f t="shared" ref="Z78:Z115" si="24">IF(T78=0,0,X78/T78)</f>
        <v>0.17872995365650901</v>
      </c>
    </row>
    <row r="79" spans="1:26" s="24" customFormat="1" hidden="1" outlineLevel="1" x14ac:dyDescent="0.25">
      <c r="A79" s="44"/>
      <c r="B79" s="11" t="str">
        <f>CONCATENATE("          ", "5000", " - ", "PURCHASES @ COST")</f>
        <v xml:space="preserve">          5000 - PURCHASES @ COST</v>
      </c>
      <c r="C79" s="11"/>
      <c r="D79" s="2">
        <v>744878.53</v>
      </c>
      <c r="E79" s="2"/>
      <c r="F79" s="19">
        <f t="shared" si="17"/>
        <v>1.3532819331781756</v>
      </c>
      <c r="G79" s="2"/>
      <c r="H79" s="2">
        <v>0</v>
      </c>
      <c r="I79" s="2"/>
      <c r="J79" s="19">
        <f t="shared" si="18"/>
        <v>0</v>
      </c>
      <c r="K79" s="2"/>
      <c r="L79" s="2">
        <f t="shared" si="19"/>
        <v>744878.53</v>
      </c>
      <c r="M79" s="2"/>
      <c r="N79" s="19">
        <f t="shared" si="20"/>
        <v>0</v>
      </c>
      <c r="O79" s="11"/>
      <c r="P79" s="2">
        <v>2316137.12</v>
      </c>
      <c r="Q79" s="2"/>
      <c r="R79" s="19">
        <f t="shared" si="21"/>
        <v>0.80753158669269109</v>
      </c>
      <c r="S79" s="2"/>
      <c r="T79" s="2">
        <v>0</v>
      </c>
      <c r="U79" s="2"/>
      <c r="V79" s="19">
        <f t="shared" si="22"/>
        <v>0</v>
      </c>
      <c r="W79" s="2"/>
      <c r="X79" s="2">
        <f t="shared" si="23"/>
        <v>2316137.12</v>
      </c>
      <c r="Y79" s="2"/>
      <c r="Z79" s="19">
        <f t="shared" si="24"/>
        <v>0</v>
      </c>
    </row>
    <row r="80" spans="1:26" s="24" customFormat="1" hidden="1" outlineLevel="1" x14ac:dyDescent="0.25">
      <c r="A80" s="44"/>
      <c r="B80" s="11" t="str">
        <f>CONCATENATE("          ", "5001", " - ", "PURCHASES @ COST-NEW TEXT")</f>
        <v xml:space="preserve">          5001 - PURCHASES @ COST-NEW TEXT</v>
      </c>
      <c r="C80" s="11"/>
      <c r="D80" s="2">
        <v>0</v>
      </c>
      <c r="E80" s="2"/>
      <c r="F80" s="19">
        <f t="shared" si="17"/>
        <v>0</v>
      </c>
      <c r="G80" s="2"/>
      <c r="H80" s="2">
        <v>55775.07</v>
      </c>
      <c r="I80" s="2"/>
      <c r="J80" s="19">
        <f t="shared" si="18"/>
        <v>0.34835680411029901</v>
      </c>
      <c r="K80" s="2"/>
      <c r="L80" s="2">
        <f t="shared" si="19"/>
        <v>-55775.07</v>
      </c>
      <c r="M80" s="2"/>
      <c r="N80" s="19">
        <f t="shared" si="20"/>
        <v>-1</v>
      </c>
      <c r="O80" s="11"/>
      <c r="P80" s="2">
        <v>0</v>
      </c>
      <c r="Q80" s="2"/>
      <c r="R80" s="19">
        <f t="shared" si="21"/>
        <v>0</v>
      </c>
      <c r="S80" s="2"/>
      <c r="T80" s="2">
        <v>1349196.83</v>
      </c>
      <c r="U80" s="2"/>
      <c r="V80" s="19">
        <f t="shared" si="22"/>
        <v>0.57314823683053961</v>
      </c>
      <c r="W80" s="2"/>
      <c r="X80" s="2">
        <f t="shared" si="23"/>
        <v>-1349196.83</v>
      </c>
      <c r="Y80" s="2"/>
      <c r="Z80" s="19">
        <f t="shared" si="24"/>
        <v>-1</v>
      </c>
    </row>
    <row r="81" spans="1:26" s="24" customFormat="1" hidden="1" outlineLevel="1" x14ac:dyDescent="0.25">
      <c r="A81" s="44"/>
      <c r="B81" s="11" t="str">
        <f>CONCATENATE("          ", "5002", " - ", "PURCHASES @ COST-USED TEXT")</f>
        <v xml:space="preserve">          5002 - PURCHASES @ COST-USED TEXT</v>
      </c>
      <c r="C81" s="11"/>
      <c r="D81" s="2"/>
      <c r="E81" s="2"/>
      <c r="F81" s="19">
        <f t="shared" si="17"/>
        <v>0</v>
      </c>
      <c r="G81" s="2"/>
      <c r="H81" s="2">
        <v>6331.95</v>
      </c>
      <c r="I81" s="2"/>
      <c r="J81" s="19">
        <f t="shared" si="18"/>
        <v>3.9547738188158398E-2</v>
      </c>
      <c r="K81" s="2"/>
      <c r="L81" s="2">
        <f t="shared" si="19"/>
        <v>-6331.95</v>
      </c>
      <c r="M81" s="2"/>
      <c r="N81" s="19">
        <f t="shared" si="20"/>
        <v>-1</v>
      </c>
      <c r="O81" s="11"/>
      <c r="P81" s="2">
        <v>0</v>
      </c>
      <c r="Q81" s="2"/>
      <c r="R81" s="19">
        <f t="shared" si="21"/>
        <v>0</v>
      </c>
      <c r="S81" s="2"/>
      <c r="T81" s="2">
        <v>303063.33</v>
      </c>
      <c r="U81" s="2"/>
      <c r="V81" s="19">
        <f t="shared" si="22"/>
        <v>0.12874341932562353</v>
      </c>
      <c r="W81" s="2"/>
      <c r="X81" s="2">
        <f t="shared" si="23"/>
        <v>-303063.33</v>
      </c>
      <c r="Y81" s="2"/>
      <c r="Z81" s="19">
        <f t="shared" si="24"/>
        <v>-1</v>
      </c>
    </row>
    <row r="82" spans="1:26" s="24" customFormat="1" hidden="1" outlineLevel="1" x14ac:dyDescent="0.25">
      <c r="A82" s="44"/>
      <c r="B82" s="11" t="str">
        <f>CONCATENATE("          ", "5003", " - ", "PURCHASES @ COST-RENTAL TEXT")</f>
        <v xml:space="preserve">          5003 - PURCHASES @ COST-RENTAL TEXT</v>
      </c>
      <c r="C82" s="11"/>
      <c r="D82" s="2"/>
      <c r="E82" s="2"/>
      <c r="F82" s="19">
        <f t="shared" si="17"/>
        <v>0</v>
      </c>
      <c r="G82" s="2"/>
      <c r="H82" s="2">
        <v>10600.69</v>
      </c>
      <c r="I82" s="2"/>
      <c r="J82" s="19">
        <f t="shared" si="18"/>
        <v>6.6209195071633364E-2</v>
      </c>
      <c r="K82" s="2"/>
      <c r="L82" s="2">
        <f t="shared" si="19"/>
        <v>-10600.69</v>
      </c>
      <c r="M82" s="2"/>
      <c r="N82" s="19">
        <f t="shared" si="20"/>
        <v>-1</v>
      </c>
      <c r="O82" s="11"/>
      <c r="P82" s="2"/>
      <c r="Q82" s="2"/>
      <c r="R82" s="19">
        <f t="shared" si="21"/>
        <v>0</v>
      </c>
      <c r="S82" s="2"/>
      <c r="T82" s="2">
        <v>-485.41</v>
      </c>
      <c r="U82" s="2"/>
      <c r="V82" s="19">
        <f t="shared" si="22"/>
        <v>-2.0620555833941016E-4</v>
      </c>
      <c r="W82" s="2"/>
      <c r="X82" s="2">
        <f t="shared" si="23"/>
        <v>485.41</v>
      </c>
      <c r="Y82" s="2"/>
      <c r="Z82" s="19">
        <f t="shared" si="24"/>
        <v>-1</v>
      </c>
    </row>
    <row r="83" spans="1:26" s="24" customFormat="1" hidden="1" outlineLevel="1" x14ac:dyDescent="0.25">
      <c r="A83" s="44"/>
      <c r="B83" s="11" t="str">
        <f>CONCATENATE("          ", "5004", " - ", "PURCHASES @ COST-DIGITAL TEXT")</f>
        <v xml:space="preserve">          5004 - PURCHASES @ COST-DIGITAL TEXT</v>
      </c>
      <c r="C83" s="11"/>
      <c r="D83" s="2"/>
      <c r="E83" s="2"/>
      <c r="F83" s="19">
        <f t="shared" si="17"/>
        <v>0</v>
      </c>
      <c r="G83" s="2"/>
      <c r="H83" s="2">
        <v>12903.46</v>
      </c>
      <c r="I83" s="2"/>
      <c r="J83" s="19">
        <f t="shared" si="18"/>
        <v>8.059170678880509E-2</v>
      </c>
      <c r="K83" s="2"/>
      <c r="L83" s="2">
        <f t="shared" si="19"/>
        <v>-12903.46</v>
      </c>
      <c r="M83" s="2"/>
      <c r="N83" s="19">
        <f t="shared" si="20"/>
        <v>-1</v>
      </c>
      <c r="O83" s="11"/>
      <c r="P83" s="2">
        <v>0</v>
      </c>
      <c r="Q83" s="2"/>
      <c r="R83" s="19">
        <f t="shared" si="21"/>
        <v>0</v>
      </c>
      <c r="S83" s="2"/>
      <c r="T83" s="2">
        <v>195519.53</v>
      </c>
      <c r="U83" s="2"/>
      <c r="V83" s="19">
        <f t="shared" si="22"/>
        <v>8.3058061947444542E-2</v>
      </c>
      <c r="W83" s="2"/>
      <c r="X83" s="2">
        <f t="shared" si="23"/>
        <v>-195519.53</v>
      </c>
      <c r="Y83" s="2"/>
      <c r="Z83" s="19">
        <f t="shared" si="24"/>
        <v>-1</v>
      </c>
    </row>
    <row r="84" spans="1:26" s="24" customFormat="1" hidden="1" outlineLevel="1" x14ac:dyDescent="0.25">
      <c r="A84" s="44"/>
      <c r="B84" s="11" t="str">
        <f>CONCATENATE("          ", "5011", " - ", "PURCHASES @ COST-NO VALUE TEXT")</f>
        <v xml:space="preserve">          5011 - PURCHASES @ COST-NO VALUE TEXT</v>
      </c>
      <c r="C84" s="11"/>
      <c r="D84" s="2"/>
      <c r="E84" s="2"/>
      <c r="F84" s="19">
        <f t="shared" si="17"/>
        <v>0</v>
      </c>
      <c r="G84" s="2"/>
      <c r="H84" s="2">
        <v>67.17</v>
      </c>
      <c r="I84" s="2"/>
      <c r="J84" s="19">
        <f t="shared" si="18"/>
        <v>4.1952661882968116E-4</v>
      </c>
      <c r="K84" s="2"/>
      <c r="L84" s="2">
        <f t="shared" si="19"/>
        <v>-67.17</v>
      </c>
      <c r="M84" s="2"/>
      <c r="N84" s="19">
        <f t="shared" si="20"/>
        <v>-1</v>
      </c>
      <c r="O84" s="11"/>
      <c r="P84" s="2"/>
      <c r="Q84" s="2"/>
      <c r="R84" s="19">
        <f t="shared" si="21"/>
        <v>0</v>
      </c>
      <c r="S84" s="2"/>
      <c r="T84" s="2">
        <v>67.17</v>
      </c>
      <c r="U84" s="2"/>
      <c r="V84" s="19">
        <f t="shared" si="22"/>
        <v>2.8534285147933045E-5</v>
      </c>
      <c r="W84" s="2"/>
      <c r="X84" s="2">
        <f t="shared" si="23"/>
        <v>-67.17</v>
      </c>
      <c r="Y84" s="2"/>
      <c r="Z84" s="19">
        <f t="shared" si="24"/>
        <v>-1</v>
      </c>
    </row>
    <row r="85" spans="1:26" s="24" customFormat="1" hidden="1" outlineLevel="1" x14ac:dyDescent="0.25">
      <c r="A85" s="44"/>
      <c r="B85" s="11" t="str">
        <f>CONCATENATE("          ", "5013", " - ", "PURCHASES @ COST-TRADE BOOKS")</f>
        <v xml:space="preserve">          5013 - PURCHASES @ COST-TRADE BOOKS</v>
      </c>
      <c r="C85" s="11"/>
      <c r="D85" s="2"/>
      <c r="E85" s="2"/>
      <c r="F85" s="19">
        <f t="shared" si="17"/>
        <v>0</v>
      </c>
      <c r="G85" s="2"/>
      <c r="H85" s="2">
        <v>1384.46</v>
      </c>
      <c r="I85" s="2"/>
      <c r="J85" s="19">
        <f t="shared" si="18"/>
        <v>8.6469826217796704E-3</v>
      </c>
      <c r="K85" s="2"/>
      <c r="L85" s="2">
        <f t="shared" si="19"/>
        <v>-1384.46</v>
      </c>
      <c r="M85" s="2"/>
      <c r="N85" s="19">
        <f t="shared" si="20"/>
        <v>-1</v>
      </c>
      <c r="O85" s="11"/>
      <c r="P85" s="2"/>
      <c r="Q85" s="2"/>
      <c r="R85" s="19">
        <f t="shared" si="21"/>
        <v>0</v>
      </c>
      <c r="S85" s="2"/>
      <c r="T85" s="2">
        <v>1483.64</v>
      </c>
      <c r="U85" s="2"/>
      <c r="V85" s="19">
        <f t="shared" si="22"/>
        <v>6.3026063446299516E-4</v>
      </c>
      <c r="W85" s="2"/>
      <c r="X85" s="2">
        <f t="shared" si="23"/>
        <v>-1483.64</v>
      </c>
      <c r="Y85" s="2"/>
      <c r="Z85" s="19">
        <f t="shared" si="24"/>
        <v>-1</v>
      </c>
    </row>
    <row r="86" spans="1:26" s="24" customFormat="1" hidden="1" outlineLevel="1" x14ac:dyDescent="0.25">
      <c r="A86" s="44"/>
      <c r="B86" s="11" t="str">
        <f>CONCATENATE("          ", "5014", " - ", "PURCHASES @ COST-REMAINDERS")</f>
        <v xml:space="preserve">          5014 - PURCHASES @ COST-REMAINDERS</v>
      </c>
      <c r="C86" s="11"/>
      <c r="D86" s="2"/>
      <c r="E86" s="2"/>
      <c r="F86" s="19">
        <f t="shared" si="17"/>
        <v>0</v>
      </c>
      <c r="G86" s="2"/>
      <c r="H86" s="2">
        <v>102.92</v>
      </c>
      <c r="I86" s="2"/>
      <c r="J86" s="19">
        <f t="shared" si="18"/>
        <v>6.4281196382240272E-4</v>
      </c>
      <c r="K86" s="2"/>
      <c r="L86" s="2">
        <f t="shared" si="19"/>
        <v>-102.92</v>
      </c>
      <c r="M86" s="2"/>
      <c r="N86" s="19">
        <f t="shared" si="20"/>
        <v>-1</v>
      </c>
      <c r="O86" s="11"/>
      <c r="P86" s="2"/>
      <c r="Q86" s="2"/>
      <c r="R86" s="19">
        <f t="shared" si="21"/>
        <v>0</v>
      </c>
      <c r="S86" s="2"/>
      <c r="T86" s="2">
        <v>90.41</v>
      </c>
      <c r="U86" s="2"/>
      <c r="V86" s="19">
        <f t="shared" si="22"/>
        <v>3.8406799467390602E-5</v>
      </c>
      <c r="W86" s="2"/>
      <c r="X86" s="2">
        <f t="shared" si="23"/>
        <v>-90.41</v>
      </c>
      <c r="Y86" s="2"/>
      <c r="Z86" s="19">
        <f t="shared" si="24"/>
        <v>-1</v>
      </c>
    </row>
    <row r="87" spans="1:26" s="24" customFormat="1" hidden="1" outlineLevel="1" x14ac:dyDescent="0.25">
      <c r="A87" s="44"/>
      <c r="B87" s="11" t="str">
        <f>CONCATENATE("          ", "5025", " - ", "PURCHASES @ COST-TEST FORMS")</f>
        <v xml:space="preserve">          5025 - PURCHASES @ COST-TEST FORMS</v>
      </c>
      <c r="C87" s="11"/>
      <c r="D87" s="2"/>
      <c r="E87" s="2"/>
      <c r="F87" s="19">
        <f t="shared" si="17"/>
        <v>0</v>
      </c>
      <c r="G87" s="2"/>
      <c r="H87" s="2">
        <v>599.29</v>
      </c>
      <c r="I87" s="2"/>
      <c r="J87" s="19">
        <f t="shared" si="18"/>
        <v>3.7430118713479175E-3</v>
      </c>
      <c r="K87" s="2"/>
      <c r="L87" s="2">
        <f t="shared" si="19"/>
        <v>-599.29</v>
      </c>
      <c r="M87" s="2"/>
      <c r="N87" s="19">
        <f t="shared" si="20"/>
        <v>-1</v>
      </c>
      <c r="O87" s="11"/>
      <c r="P87" s="2"/>
      <c r="Q87" s="2"/>
      <c r="R87" s="19">
        <f t="shared" si="21"/>
        <v>0</v>
      </c>
      <c r="S87" s="2"/>
      <c r="T87" s="2">
        <v>599.29</v>
      </c>
      <c r="U87" s="2"/>
      <c r="V87" s="19">
        <f t="shared" si="22"/>
        <v>2.5458257773269008E-4</v>
      </c>
      <c r="W87" s="2"/>
      <c r="X87" s="2">
        <f t="shared" si="23"/>
        <v>-599.29</v>
      </c>
      <c r="Y87" s="2"/>
      <c r="Z87" s="19">
        <f t="shared" si="24"/>
        <v>-1</v>
      </c>
    </row>
    <row r="88" spans="1:26" s="24" customFormat="1" hidden="1" outlineLevel="1" x14ac:dyDescent="0.25">
      <c r="A88" s="44"/>
      <c r="B88" s="11" t="str">
        <f>CONCATENATE("          ", "5026", " - ", "PURCHASES @ COST-WRITING INSTR")</f>
        <v xml:space="preserve">          5026 - PURCHASES @ COST-WRITING INSTR</v>
      </c>
      <c r="C88" s="11"/>
      <c r="D88" s="2"/>
      <c r="E88" s="2"/>
      <c r="F88" s="19">
        <f t="shared" si="17"/>
        <v>0</v>
      </c>
      <c r="G88" s="2"/>
      <c r="H88" s="2">
        <v>380.02</v>
      </c>
      <c r="I88" s="2"/>
      <c r="J88" s="19">
        <f t="shared" si="18"/>
        <v>2.3735076029128394E-3</v>
      </c>
      <c r="K88" s="2"/>
      <c r="L88" s="2">
        <f t="shared" si="19"/>
        <v>-380.02</v>
      </c>
      <c r="M88" s="2"/>
      <c r="N88" s="19">
        <f t="shared" si="20"/>
        <v>-1</v>
      </c>
      <c r="O88" s="11"/>
      <c r="P88" s="2">
        <v>0</v>
      </c>
      <c r="Q88" s="2"/>
      <c r="R88" s="19">
        <f t="shared" si="21"/>
        <v>0</v>
      </c>
      <c r="S88" s="2"/>
      <c r="T88" s="2">
        <v>380.02</v>
      </c>
      <c r="U88" s="2"/>
      <c r="V88" s="19">
        <f t="shared" si="22"/>
        <v>1.6143515024441739E-4</v>
      </c>
      <c r="W88" s="2"/>
      <c r="X88" s="2">
        <f t="shared" si="23"/>
        <v>-380.02</v>
      </c>
      <c r="Y88" s="2"/>
      <c r="Z88" s="19">
        <f t="shared" si="24"/>
        <v>-1</v>
      </c>
    </row>
    <row r="89" spans="1:26" s="24" customFormat="1" hidden="1" outlineLevel="1" x14ac:dyDescent="0.25">
      <c r="A89" s="44"/>
      <c r="B89" s="11" t="str">
        <f>CONCATENATE("          ", "5027", " - ", "PURCHASES @ COST-SCHOOL SUPPLI")</f>
        <v xml:space="preserve">          5027 - PURCHASES @ COST-SCHOOL SUPPLI</v>
      </c>
      <c r="C89" s="11"/>
      <c r="D89" s="2"/>
      <c r="E89" s="2"/>
      <c r="F89" s="19">
        <f t="shared" si="17"/>
        <v>0</v>
      </c>
      <c r="G89" s="2"/>
      <c r="H89" s="2">
        <v>10567.95</v>
      </c>
      <c r="I89" s="2"/>
      <c r="J89" s="19">
        <f t="shared" si="18"/>
        <v>6.6004709415827451E-2</v>
      </c>
      <c r="K89" s="2"/>
      <c r="L89" s="2">
        <f t="shared" si="19"/>
        <v>-10567.95</v>
      </c>
      <c r="M89" s="2"/>
      <c r="N89" s="19">
        <f t="shared" si="20"/>
        <v>-1</v>
      </c>
      <c r="O89" s="11"/>
      <c r="P89" s="2">
        <v>0</v>
      </c>
      <c r="Q89" s="2"/>
      <c r="R89" s="19">
        <f t="shared" si="21"/>
        <v>0</v>
      </c>
      <c r="S89" s="2"/>
      <c r="T89" s="2">
        <v>19071.349999999999</v>
      </c>
      <c r="U89" s="2"/>
      <c r="V89" s="19">
        <f t="shared" si="22"/>
        <v>8.1016426835794682E-3</v>
      </c>
      <c r="W89" s="2"/>
      <c r="X89" s="2">
        <f t="shared" si="23"/>
        <v>-19071.349999999999</v>
      </c>
      <c r="Y89" s="2"/>
      <c r="Z89" s="19">
        <f t="shared" si="24"/>
        <v>-1</v>
      </c>
    </row>
    <row r="90" spans="1:26" s="24" customFormat="1" hidden="1" outlineLevel="1" x14ac:dyDescent="0.25">
      <c r="A90" s="44"/>
      <c r="B90" s="11" t="str">
        <f>CONCATENATE("          ", "5028", " - ", "PURCHASES @ COST-ART/TECH")</f>
        <v xml:space="preserve">          5028 - PURCHASES @ COST-ART/TECH</v>
      </c>
      <c r="C90" s="11"/>
      <c r="D90" s="2"/>
      <c r="E90" s="2"/>
      <c r="F90" s="19">
        <f t="shared" si="17"/>
        <v>0</v>
      </c>
      <c r="G90" s="2"/>
      <c r="H90" s="2">
        <v>41425.96</v>
      </c>
      <c r="I90" s="2"/>
      <c r="J90" s="19">
        <f t="shared" si="18"/>
        <v>0.25873593762950153</v>
      </c>
      <c r="K90" s="2"/>
      <c r="L90" s="2">
        <f t="shared" si="19"/>
        <v>-41425.96</v>
      </c>
      <c r="M90" s="2"/>
      <c r="N90" s="19">
        <f t="shared" si="20"/>
        <v>-1</v>
      </c>
      <c r="O90" s="11"/>
      <c r="P90" s="2">
        <v>0</v>
      </c>
      <c r="Q90" s="2"/>
      <c r="R90" s="19">
        <f t="shared" si="21"/>
        <v>0</v>
      </c>
      <c r="S90" s="2"/>
      <c r="T90" s="2">
        <v>41342.559999999998</v>
      </c>
      <c r="U90" s="2"/>
      <c r="V90" s="19">
        <f t="shared" si="22"/>
        <v>1.7562608244536707E-2</v>
      </c>
      <c r="W90" s="2"/>
      <c r="X90" s="2">
        <f t="shared" si="23"/>
        <v>-41342.559999999998</v>
      </c>
      <c r="Y90" s="2"/>
      <c r="Z90" s="19">
        <f t="shared" si="24"/>
        <v>-1</v>
      </c>
    </row>
    <row r="91" spans="1:26" s="24" customFormat="1" hidden="1" outlineLevel="1" x14ac:dyDescent="0.25">
      <c r="A91" s="44"/>
      <c r="B91" s="11" t="str">
        <f>CONCATENATE("          ", "5031", " - ", "PURCHASES @ COST-FOOD")</f>
        <v xml:space="preserve">          5031 - PURCHASES @ COST-FOOD</v>
      </c>
      <c r="C91" s="11"/>
      <c r="D91" s="2"/>
      <c r="E91" s="2"/>
      <c r="F91" s="19">
        <f t="shared" si="17"/>
        <v>0</v>
      </c>
      <c r="G91" s="2"/>
      <c r="H91" s="2">
        <v>4469.18</v>
      </c>
      <c r="I91" s="2"/>
      <c r="J91" s="19">
        <f t="shared" si="18"/>
        <v>2.7913353793974017E-2</v>
      </c>
      <c r="K91" s="2"/>
      <c r="L91" s="2">
        <f t="shared" si="19"/>
        <v>-4469.18</v>
      </c>
      <c r="M91" s="2"/>
      <c r="N91" s="19">
        <f t="shared" si="20"/>
        <v>-1</v>
      </c>
      <c r="O91" s="11"/>
      <c r="P91" s="2">
        <v>0</v>
      </c>
      <c r="Q91" s="2"/>
      <c r="R91" s="19">
        <f t="shared" si="21"/>
        <v>0</v>
      </c>
      <c r="S91" s="2"/>
      <c r="T91" s="2">
        <v>8535.1</v>
      </c>
      <c r="U91" s="2"/>
      <c r="V91" s="19">
        <f t="shared" si="22"/>
        <v>3.6257700932875291E-3</v>
      </c>
      <c r="W91" s="2"/>
      <c r="X91" s="2">
        <f t="shared" si="23"/>
        <v>-8535.1</v>
      </c>
      <c r="Y91" s="2"/>
      <c r="Z91" s="19">
        <f t="shared" si="24"/>
        <v>-1</v>
      </c>
    </row>
    <row r="92" spans="1:26" s="24" customFormat="1" hidden="1" outlineLevel="1" x14ac:dyDescent="0.25">
      <c r="A92" s="44"/>
      <c r="B92" s="11" t="str">
        <f>CONCATENATE("          ", "5040", " - ", "PURCHASES @ COST-LOGO CLOTHING")</f>
        <v xml:space="preserve">          5040 - PURCHASES @ COST-LOGO CLOTHING</v>
      </c>
      <c r="C92" s="11"/>
      <c r="D92" s="2"/>
      <c r="E92" s="2"/>
      <c r="F92" s="19">
        <f t="shared" si="17"/>
        <v>0</v>
      </c>
      <c r="G92" s="2"/>
      <c r="H92" s="2">
        <v>25420.9</v>
      </c>
      <c r="I92" s="2"/>
      <c r="J92" s="19">
        <f t="shared" si="18"/>
        <v>0.15877243151120207</v>
      </c>
      <c r="K92" s="2"/>
      <c r="L92" s="2">
        <f t="shared" si="19"/>
        <v>-25420.9</v>
      </c>
      <c r="M92" s="2"/>
      <c r="N92" s="19">
        <f t="shared" si="20"/>
        <v>-1</v>
      </c>
      <c r="O92" s="11"/>
      <c r="P92" s="2">
        <v>0</v>
      </c>
      <c r="Q92" s="2"/>
      <c r="R92" s="19">
        <f t="shared" si="21"/>
        <v>0</v>
      </c>
      <c r="S92" s="2"/>
      <c r="T92" s="2">
        <v>39170.949999999997</v>
      </c>
      <c r="U92" s="2"/>
      <c r="V92" s="19">
        <f t="shared" si="22"/>
        <v>1.6640093148956793E-2</v>
      </c>
      <c r="W92" s="2"/>
      <c r="X92" s="2">
        <f t="shared" si="23"/>
        <v>-39170.949999999997</v>
      </c>
      <c r="Y92" s="2"/>
      <c r="Z92" s="19">
        <f t="shared" si="24"/>
        <v>-1</v>
      </c>
    </row>
    <row r="93" spans="1:26" s="24" customFormat="1" hidden="1" outlineLevel="1" x14ac:dyDescent="0.25">
      <c r="A93" s="44"/>
      <c r="B93" s="11" t="str">
        <f>CONCATENATE("          ", "5041", " - ", "PURCHASES @ COST-LOGO GIFTS")</f>
        <v xml:space="preserve">          5041 - PURCHASES @ COST-LOGO GIFTS</v>
      </c>
      <c r="C93" s="11"/>
      <c r="D93" s="2"/>
      <c r="E93" s="2"/>
      <c r="F93" s="19">
        <f t="shared" si="17"/>
        <v>0</v>
      </c>
      <c r="G93" s="2"/>
      <c r="H93" s="2">
        <v>15289.8</v>
      </c>
      <c r="I93" s="2"/>
      <c r="J93" s="19">
        <f t="shared" si="18"/>
        <v>9.5496175325026925E-2</v>
      </c>
      <c r="K93" s="2"/>
      <c r="L93" s="2">
        <f t="shared" si="19"/>
        <v>-15289.8</v>
      </c>
      <c r="M93" s="2"/>
      <c r="N93" s="19">
        <f t="shared" si="20"/>
        <v>-1</v>
      </c>
      <c r="O93" s="11"/>
      <c r="P93" s="2">
        <v>0</v>
      </c>
      <c r="Q93" s="2"/>
      <c r="R93" s="19">
        <f t="shared" si="21"/>
        <v>0</v>
      </c>
      <c r="S93" s="2"/>
      <c r="T93" s="2">
        <v>17287.34</v>
      </c>
      <c r="U93" s="2"/>
      <c r="V93" s="19">
        <f t="shared" si="22"/>
        <v>7.3437827751863761E-3</v>
      </c>
      <c r="W93" s="2"/>
      <c r="X93" s="2">
        <f t="shared" si="23"/>
        <v>-17287.34</v>
      </c>
      <c r="Y93" s="2"/>
      <c r="Z93" s="19">
        <f t="shared" si="24"/>
        <v>-1</v>
      </c>
    </row>
    <row r="94" spans="1:26" s="24" customFormat="1" hidden="1" outlineLevel="1" x14ac:dyDescent="0.25">
      <c r="A94" s="44"/>
      <c r="B94" s="11" t="str">
        <f>CONCATENATE("          ", "5042", " - ", "PURCHASES @ COST-EVERYDAY GIFT")</f>
        <v xml:space="preserve">          5042 - PURCHASES @ COST-EVERYDAY GIFT</v>
      </c>
      <c r="C94" s="11"/>
      <c r="D94" s="2"/>
      <c r="E94" s="2"/>
      <c r="F94" s="19">
        <f t="shared" si="17"/>
        <v>0</v>
      </c>
      <c r="G94" s="2"/>
      <c r="H94" s="2">
        <v>9421.5300000000007</v>
      </c>
      <c r="I94" s="2"/>
      <c r="J94" s="19">
        <f t="shared" si="18"/>
        <v>5.8844463675783928E-2</v>
      </c>
      <c r="K94" s="2"/>
      <c r="L94" s="2">
        <f t="shared" si="19"/>
        <v>-9421.5300000000007</v>
      </c>
      <c r="M94" s="2"/>
      <c r="N94" s="19">
        <f t="shared" si="20"/>
        <v>-1</v>
      </c>
      <c r="O94" s="11"/>
      <c r="P94" s="2">
        <v>0</v>
      </c>
      <c r="Q94" s="2"/>
      <c r="R94" s="19">
        <f t="shared" si="21"/>
        <v>0</v>
      </c>
      <c r="S94" s="2"/>
      <c r="T94" s="2">
        <v>10912.68</v>
      </c>
      <c r="U94" s="2"/>
      <c r="V94" s="19">
        <f t="shared" si="22"/>
        <v>4.6357826834620515E-3</v>
      </c>
      <c r="W94" s="2"/>
      <c r="X94" s="2">
        <f t="shared" si="23"/>
        <v>-10912.68</v>
      </c>
      <c r="Y94" s="2"/>
      <c r="Z94" s="19">
        <f t="shared" si="24"/>
        <v>-1</v>
      </c>
    </row>
    <row r="95" spans="1:26" s="24" customFormat="1" hidden="1" outlineLevel="1" x14ac:dyDescent="0.25">
      <c r="A95" s="44"/>
      <c r="B95" s="11" t="str">
        <f>CONCATENATE("          ", "5043", " - ", "PURCHASES @ COST-CARDS")</f>
        <v xml:space="preserve">          5043 - PURCHASES @ COST-CARDS</v>
      </c>
      <c r="C95" s="11"/>
      <c r="D95" s="2"/>
      <c r="E95" s="2"/>
      <c r="F95" s="19">
        <f t="shared" si="17"/>
        <v>0</v>
      </c>
      <c r="G95" s="2"/>
      <c r="H95" s="2">
        <v>2526.75</v>
      </c>
      <c r="I95" s="2"/>
      <c r="J95" s="19">
        <f t="shared" si="18"/>
        <v>1.5781433439450602E-2</v>
      </c>
      <c r="K95" s="2"/>
      <c r="L95" s="2">
        <f t="shared" si="19"/>
        <v>-2526.75</v>
      </c>
      <c r="M95" s="2"/>
      <c r="N95" s="19">
        <f t="shared" si="20"/>
        <v>-1</v>
      </c>
      <c r="O95" s="11"/>
      <c r="P95" s="2">
        <v>0</v>
      </c>
      <c r="Q95" s="2"/>
      <c r="R95" s="19">
        <f t="shared" si="21"/>
        <v>0</v>
      </c>
      <c r="S95" s="2"/>
      <c r="T95" s="2">
        <v>5643</v>
      </c>
      <c r="U95" s="2"/>
      <c r="V95" s="19">
        <f t="shared" si="22"/>
        <v>2.397185813455206E-3</v>
      </c>
      <c r="W95" s="2"/>
      <c r="X95" s="2">
        <f t="shared" si="23"/>
        <v>-5643</v>
      </c>
      <c r="Y95" s="2"/>
      <c r="Z95" s="19">
        <f t="shared" si="24"/>
        <v>-1</v>
      </c>
    </row>
    <row r="96" spans="1:26" s="24" customFormat="1" hidden="1" outlineLevel="1" x14ac:dyDescent="0.25">
      <c r="A96" s="44"/>
      <c r="B96" s="11" t="str">
        <f>CONCATENATE("          ", "5044", " - ", "PURCHASES @ COST-ACCESSORIES")</f>
        <v xml:space="preserve">          5044 - PURCHASES @ COST-ACCESSORIES</v>
      </c>
      <c r="C96" s="11"/>
      <c r="D96" s="2"/>
      <c r="E96" s="2"/>
      <c r="F96" s="19">
        <f t="shared" si="17"/>
        <v>0</v>
      </c>
      <c r="G96" s="2"/>
      <c r="H96" s="2"/>
      <c r="I96" s="2"/>
      <c r="J96" s="19">
        <f t="shared" si="18"/>
        <v>0</v>
      </c>
      <c r="K96" s="2"/>
      <c r="L96" s="2">
        <f t="shared" si="19"/>
        <v>0</v>
      </c>
      <c r="M96" s="2"/>
      <c r="N96" s="19">
        <f t="shared" si="20"/>
        <v>0</v>
      </c>
      <c r="O96" s="11"/>
      <c r="P96" s="2">
        <v>0</v>
      </c>
      <c r="Q96" s="2"/>
      <c r="R96" s="19">
        <f t="shared" si="21"/>
        <v>0</v>
      </c>
      <c r="S96" s="2"/>
      <c r="T96" s="2"/>
      <c r="U96" s="2"/>
      <c r="V96" s="19">
        <f t="shared" si="22"/>
        <v>0</v>
      </c>
      <c r="W96" s="2"/>
      <c r="X96" s="2">
        <f t="shared" si="23"/>
        <v>0</v>
      </c>
      <c r="Y96" s="2"/>
      <c r="Z96" s="19">
        <f t="shared" si="24"/>
        <v>0</v>
      </c>
    </row>
    <row r="97" spans="1:26" s="24" customFormat="1" hidden="1" outlineLevel="1" x14ac:dyDescent="0.25">
      <c r="A97" s="44"/>
      <c r="B97" s="11" t="str">
        <f>CONCATENATE("          ", "5045", " - ", "PURCHASES @ COST-SPECIAL ORDER")</f>
        <v xml:space="preserve">          5045 - PURCHASES @ COST-SPECIAL ORDER</v>
      </c>
      <c r="C97" s="11"/>
      <c r="D97" s="2"/>
      <c r="E97" s="2"/>
      <c r="F97" s="19">
        <f t="shared" si="17"/>
        <v>0</v>
      </c>
      <c r="G97" s="2"/>
      <c r="H97" s="2">
        <v>10080.23</v>
      </c>
      <c r="I97" s="2"/>
      <c r="J97" s="19">
        <f t="shared" si="18"/>
        <v>6.2958535193174292E-2</v>
      </c>
      <c r="K97" s="2"/>
      <c r="L97" s="2">
        <f t="shared" si="19"/>
        <v>-10080.23</v>
      </c>
      <c r="M97" s="2"/>
      <c r="N97" s="19">
        <f t="shared" si="20"/>
        <v>-1</v>
      </c>
      <c r="O97" s="11"/>
      <c r="P97" s="2">
        <v>0</v>
      </c>
      <c r="Q97" s="2"/>
      <c r="R97" s="19">
        <f t="shared" si="21"/>
        <v>0</v>
      </c>
      <c r="S97" s="2"/>
      <c r="T97" s="2">
        <v>71254.52</v>
      </c>
      <c r="U97" s="2"/>
      <c r="V97" s="19">
        <f t="shared" si="22"/>
        <v>3.0269417772206316E-2</v>
      </c>
      <c r="W97" s="2"/>
      <c r="X97" s="2">
        <f t="shared" si="23"/>
        <v>-71254.52</v>
      </c>
      <c r="Y97" s="2"/>
      <c r="Z97" s="19">
        <f t="shared" si="24"/>
        <v>-1</v>
      </c>
    </row>
    <row r="98" spans="1:26" s="24" customFormat="1" hidden="1" outlineLevel="1" x14ac:dyDescent="0.25">
      <c r="A98" s="44"/>
      <c r="B98" s="11" t="str">
        <f>CONCATENATE("          ", "5092", " - ", "PURCHASES @ COST-GRAD MERCH")</f>
        <v xml:space="preserve">          5092 - PURCHASES @ COST-GRAD MERCH</v>
      </c>
      <c r="C98" s="11"/>
      <c r="D98" s="2"/>
      <c r="E98" s="2"/>
      <c r="F98" s="19">
        <f t="shared" si="17"/>
        <v>0</v>
      </c>
      <c r="G98" s="2"/>
      <c r="H98" s="2"/>
      <c r="I98" s="2"/>
      <c r="J98" s="19">
        <f t="shared" si="18"/>
        <v>0</v>
      </c>
      <c r="K98" s="2"/>
      <c r="L98" s="2">
        <f t="shared" si="19"/>
        <v>0</v>
      </c>
      <c r="M98" s="2"/>
      <c r="N98" s="19">
        <f t="shared" si="20"/>
        <v>0</v>
      </c>
      <c r="O98" s="11"/>
      <c r="P98" s="2"/>
      <c r="Q98" s="2"/>
      <c r="R98" s="19">
        <f t="shared" si="21"/>
        <v>0</v>
      </c>
      <c r="S98" s="2"/>
      <c r="T98" s="2">
        <v>0</v>
      </c>
      <c r="U98" s="2"/>
      <c r="V98" s="19">
        <f t="shared" si="22"/>
        <v>0</v>
      </c>
      <c r="W98" s="2"/>
      <c r="X98" s="2">
        <f t="shared" si="23"/>
        <v>0</v>
      </c>
      <c r="Y98" s="2"/>
      <c r="Z98" s="19">
        <f t="shared" si="24"/>
        <v>0</v>
      </c>
    </row>
    <row r="99" spans="1:26" s="24" customFormat="1" hidden="1" outlineLevel="1" x14ac:dyDescent="0.25">
      <c r="A99" s="44"/>
      <c r="B99" s="11" t="str">
        <f>CONCATENATE("          ", "5200", " - ", "PURCHASES OFFSET")</f>
        <v xml:space="preserve">          5200 - PURCHASES OFFSET</v>
      </c>
      <c r="C99" s="11"/>
      <c r="D99" s="2">
        <v>-764729.36</v>
      </c>
      <c r="E99" s="2"/>
      <c r="F99" s="19">
        <f t="shared" si="17"/>
        <v>-1.3893465645451064</v>
      </c>
      <c r="G99" s="2"/>
      <c r="H99" s="2">
        <v>-234183.51</v>
      </c>
      <c r="I99" s="2"/>
      <c r="J99" s="19">
        <f t="shared" si="18"/>
        <v>-1.4626502327819983</v>
      </c>
      <c r="K99" s="2"/>
      <c r="L99" s="2">
        <f t="shared" si="19"/>
        <v>-530545.85</v>
      </c>
      <c r="M99" s="2"/>
      <c r="N99" s="19">
        <f t="shared" si="20"/>
        <v>2.2655132720489157</v>
      </c>
      <c r="O99" s="11"/>
      <c r="P99" s="2">
        <v>-2112354.9900000002</v>
      </c>
      <c r="Q99" s="2"/>
      <c r="R99" s="19">
        <f t="shared" si="21"/>
        <v>-0.73648203381539168</v>
      </c>
      <c r="S99" s="2"/>
      <c r="T99" s="2">
        <v>-1769157.19</v>
      </c>
      <c r="U99" s="2"/>
      <c r="V99" s="19">
        <f t="shared" si="22"/>
        <v>-0.75155033096584722</v>
      </c>
      <c r="W99" s="2"/>
      <c r="X99" s="2">
        <f t="shared" si="23"/>
        <v>-343197.80000000028</v>
      </c>
      <c r="Y99" s="2"/>
      <c r="Z99" s="19">
        <f t="shared" si="24"/>
        <v>0.19398943290053289</v>
      </c>
    </row>
    <row r="100" spans="1:26" s="24" customFormat="1" hidden="1" outlineLevel="1" x14ac:dyDescent="0.25">
      <c r="A100" s="44"/>
      <c r="B100" s="11" t="str">
        <f>CONCATENATE("          ", "5300", " - ", "COG$ OFFSET")</f>
        <v xml:space="preserve">          5300 - COG$ OFFSET</v>
      </c>
      <c r="C100" s="11"/>
      <c r="D100" s="2">
        <v>308234.86</v>
      </c>
      <c r="E100" s="2"/>
      <c r="F100" s="19">
        <f t="shared" si="17"/>
        <v>0.55999555687784996</v>
      </c>
      <c r="G100" s="2"/>
      <c r="H100" s="2">
        <v>85211</v>
      </c>
      <c r="I100" s="2"/>
      <c r="J100" s="19">
        <f t="shared" si="18"/>
        <v>0.53220608481607801</v>
      </c>
      <c r="K100" s="2"/>
      <c r="L100" s="2">
        <f t="shared" si="19"/>
        <v>223023.86</v>
      </c>
      <c r="M100" s="2"/>
      <c r="N100" s="19">
        <f t="shared" si="20"/>
        <v>2.6173130229665182</v>
      </c>
      <c r="O100" s="11"/>
      <c r="P100" s="2">
        <v>1562332.81</v>
      </c>
      <c r="Q100" s="2"/>
      <c r="R100" s="19">
        <f t="shared" si="21"/>
        <v>0.54471433582539819</v>
      </c>
      <c r="S100" s="2"/>
      <c r="T100" s="2">
        <v>1195689</v>
      </c>
      <c r="U100" s="2"/>
      <c r="V100" s="19">
        <f t="shared" si="22"/>
        <v>0.5079370384732308</v>
      </c>
      <c r="W100" s="2"/>
      <c r="X100" s="2">
        <f t="shared" si="23"/>
        <v>366643.81000000006</v>
      </c>
      <c r="Y100" s="2"/>
      <c r="Z100" s="19">
        <f t="shared" si="24"/>
        <v>0.3066381057281618</v>
      </c>
    </row>
    <row r="101" spans="1:26" s="24" customFormat="1" hidden="1" outlineLevel="1" x14ac:dyDescent="0.25">
      <c r="A101" s="44"/>
      <c r="B101" s="11" t="str">
        <f>CONCATENATE("          ", "5500", " - ", "FREIGHT-IN")</f>
        <v xml:space="preserve">          5500 - FREIGHT-IN</v>
      </c>
      <c r="C101" s="11"/>
      <c r="D101" s="2">
        <v>22295.17</v>
      </c>
      <c r="E101" s="2"/>
      <c r="F101" s="19">
        <f t="shared" si="17"/>
        <v>4.0505464371668846E-2</v>
      </c>
      <c r="G101" s="2"/>
      <c r="H101" s="2"/>
      <c r="I101" s="2"/>
      <c r="J101" s="19">
        <f t="shared" si="18"/>
        <v>0</v>
      </c>
      <c r="K101" s="2"/>
      <c r="L101" s="2">
        <f t="shared" si="19"/>
        <v>22295.17</v>
      </c>
      <c r="M101" s="2"/>
      <c r="N101" s="19">
        <f t="shared" si="20"/>
        <v>0</v>
      </c>
      <c r="O101" s="11"/>
      <c r="P101" s="2">
        <v>49635.96</v>
      </c>
      <c r="Q101" s="2"/>
      <c r="R101" s="19">
        <f t="shared" si="21"/>
        <v>1.7305799898330261E-2</v>
      </c>
      <c r="S101" s="2"/>
      <c r="T101" s="2">
        <v>0</v>
      </c>
      <c r="U101" s="2"/>
      <c r="V101" s="19">
        <f t="shared" si="22"/>
        <v>0</v>
      </c>
      <c r="W101" s="2"/>
      <c r="X101" s="2">
        <f t="shared" si="23"/>
        <v>49635.96</v>
      </c>
      <c r="Y101" s="2"/>
      <c r="Z101" s="19">
        <f t="shared" si="24"/>
        <v>0</v>
      </c>
    </row>
    <row r="102" spans="1:26" s="24" customFormat="1" hidden="1" outlineLevel="1" x14ac:dyDescent="0.25">
      <c r="A102" s="44"/>
      <c r="B102" s="11" t="str">
        <f>CONCATENATE("          ", "5501", " - ", "FREIGHT-IN-NEW TEXT")</f>
        <v xml:space="preserve">          5501 - FREIGHT-IN-NEW TEXT</v>
      </c>
      <c r="C102" s="11"/>
      <c r="D102" s="2">
        <v>0</v>
      </c>
      <c r="E102" s="2"/>
      <c r="F102" s="19">
        <f t="shared" si="17"/>
        <v>0</v>
      </c>
      <c r="G102" s="2"/>
      <c r="H102" s="2">
        <v>23295.74</v>
      </c>
      <c r="I102" s="2"/>
      <c r="J102" s="19">
        <f t="shared" si="18"/>
        <v>0.14549922637092985</v>
      </c>
      <c r="K102" s="2"/>
      <c r="L102" s="2">
        <f t="shared" si="19"/>
        <v>-23295.74</v>
      </c>
      <c r="M102" s="2"/>
      <c r="N102" s="19">
        <f t="shared" si="20"/>
        <v>-1</v>
      </c>
      <c r="O102" s="11"/>
      <c r="P102" s="2">
        <v>0</v>
      </c>
      <c r="Q102" s="2"/>
      <c r="R102" s="19">
        <f t="shared" si="21"/>
        <v>0</v>
      </c>
      <c r="S102" s="2"/>
      <c r="T102" s="2">
        <v>34058.620000000003</v>
      </c>
      <c r="U102" s="2"/>
      <c r="V102" s="19">
        <f t="shared" si="22"/>
        <v>1.4468339657958842E-2</v>
      </c>
      <c r="W102" s="2"/>
      <c r="X102" s="2">
        <f t="shared" si="23"/>
        <v>-34058.620000000003</v>
      </c>
      <c r="Y102" s="2"/>
      <c r="Z102" s="19">
        <f t="shared" si="24"/>
        <v>-1</v>
      </c>
    </row>
    <row r="103" spans="1:26" s="24" customFormat="1" hidden="1" outlineLevel="1" x14ac:dyDescent="0.25">
      <c r="A103" s="44"/>
      <c r="B103" s="11" t="str">
        <f>CONCATENATE("          ", "5502", " - ", "FREIGHT-IN-USED TEXT")</f>
        <v xml:space="preserve">          5502 - FREIGHT-IN-USED TEXT</v>
      </c>
      <c r="C103" s="11"/>
      <c r="D103" s="2"/>
      <c r="E103" s="2"/>
      <c r="F103" s="19">
        <f t="shared" si="17"/>
        <v>0</v>
      </c>
      <c r="G103" s="2"/>
      <c r="H103" s="2">
        <v>2233.9</v>
      </c>
      <c r="I103" s="2"/>
      <c r="J103" s="19">
        <f t="shared" si="18"/>
        <v>1.395236733368505E-2</v>
      </c>
      <c r="K103" s="2"/>
      <c r="L103" s="2">
        <f t="shared" si="19"/>
        <v>-2233.9</v>
      </c>
      <c r="M103" s="2"/>
      <c r="N103" s="19">
        <f t="shared" si="20"/>
        <v>-1</v>
      </c>
      <c r="O103" s="11"/>
      <c r="P103" s="2">
        <v>0</v>
      </c>
      <c r="Q103" s="2"/>
      <c r="R103" s="19">
        <f t="shared" si="21"/>
        <v>0</v>
      </c>
      <c r="S103" s="2"/>
      <c r="T103" s="2">
        <v>10744.72</v>
      </c>
      <c r="U103" s="2"/>
      <c r="V103" s="19">
        <f t="shared" si="22"/>
        <v>4.5644321023477616E-3</v>
      </c>
      <c r="W103" s="2"/>
      <c r="X103" s="2">
        <f t="shared" si="23"/>
        <v>-10744.72</v>
      </c>
      <c r="Y103" s="2"/>
      <c r="Z103" s="19">
        <f t="shared" si="24"/>
        <v>-1</v>
      </c>
    </row>
    <row r="104" spans="1:26" s="24" customFormat="1" hidden="1" outlineLevel="1" x14ac:dyDescent="0.25">
      <c r="A104" s="44"/>
      <c r="B104" s="11" t="str">
        <f>CONCATENATE("          ", "5504", " - ", "FREIGHT-IN-DIGITAL TEXT")</f>
        <v xml:space="preserve">          5504 - FREIGHT-IN-DIGITAL TEXT</v>
      </c>
      <c r="C104" s="11"/>
      <c r="D104" s="2"/>
      <c r="E104" s="2"/>
      <c r="F104" s="19">
        <f t="shared" si="17"/>
        <v>0</v>
      </c>
      <c r="G104" s="2"/>
      <c r="H104" s="2">
        <v>10.99</v>
      </c>
      <c r="I104" s="2"/>
      <c r="J104" s="19">
        <f t="shared" si="18"/>
        <v>6.8640725635524738E-5</v>
      </c>
      <c r="K104" s="2"/>
      <c r="L104" s="2">
        <f t="shared" si="19"/>
        <v>-10.99</v>
      </c>
      <c r="M104" s="2"/>
      <c r="N104" s="19">
        <f t="shared" si="20"/>
        <v>-1</v>
      </c>
      <c r="O104" s="11"/>
      <c r="P104" s="2"/>
      <c r="Q104" s="2"/>
      <c r="R104" s="19">
        <f t="shared" si="21"/>
        <v>0</v>
      </c>
      <c r="S104" s="2"/>
      <c r="T104" s="2">
        <v>21.98</v>
      </c>
      <c r="U104" s="2"/>
      <c r="V104" s="19">
        <f t="shared" si="22"/>
        <v>9.3372575190050374E-6</v>
      </c>
      <c r="W104" s="2"/>
      <c r="X104" s="2">
        <f t="shared" si="23"/>
        <v>-21.98</v>
      </c>
      <c r="Y104" s="2"/>
      <c r="Z104" s="19">
        <f t="shared" si="24"/>
        <v>-1</v>
      </c>
    </row>
    <row r="105" spans="1:26" s="24" customFormat="1" hidden="1" outlineLevel="1" x14ac:dyDescent="0.25">
      <c r="A105" s="44"/>
      <c r="B105" s="11" t="str">
        <f>CONCATENATE("          ", "5518", " - ", "FREIGHT-IN-STUDY GUIDES")</f>
        <v xml:space="preserve">          5518 - FREIGHT-IN-STUDY GUIDES</v>
      </c>
      <c r="C105" s="11"/>
      <c r="D105" s="2"/>
      <c r="E105" s="2"/>
      <c r="F105" s="19">
        <f t="shared" si="17"/>
        <v>0</v>
      </c>
      <c r="G105" s="2"/>
      <c r="H105" s="2"/>
      <c r="I105" s="2"/>
      <c r="J105" s="19">
        <f t="shared" si="18"/>
        <v>0</v>
      </c>
      <c r="K105" s="2"/>
      <c r="L105" s="2">
        <f t="shared" si="19"/>
        <v>0</v>
      </c>
      <c r="M105" s="2"/>
      <c r="N105" s="19">
        <f t="shared" si="20"/>
        <v>0</v>
      </c>
      <c r="O105" s="11"/>
      <c r="P105" s="2">
        <v>0</v>
      </c>
      <c r="Q105" s="2"/>
      <c r="R105" s="19">
        <f t="shared" si="21"/>
        <v>0</v>
      </c>
      <c r="S105" s="2"/>
      <c r="T105" s="2"/>
      <c r="U105" s="2"/>
      <c r="V105" s="19">
        <f t="shared" si="22"/>
        <v>0</v>
      </c>
      <c r="W105" s="2"/>
      <c r="X105" s="2">
        <f t="shared" si="23"/>
        <v>0</v>
      </c>
      <c r="Y105" s="2"/>
      <c r="Z105" s="19">
        <f t="shared" si="24"/>
        <v>0</v>
      </c>
    </row>
    <row r="106" spans="1:26" s="24" customFormat="1" hidden="1" outlineLevel="1" x14ac:dyDescent="0.25">
      <c r="A106" s="44"/>
      <c r="B106" s="11" t="str">
        <f>CONCATENATE("          ", "5525", " - ", "FREIGHT-IN-TEST FORMS")</f>
        <v xml:space="preserve">          5525 - FREIGHT-IN-TEST FORMS</v>
      </c>
      <c r="C106" s="11"/>
      <c r="D106" s="2"/>
      <c r="E106" s="2"/>
      <c r="F106" s="19">
        <f t="shared" si="17"/>
        <v>0</v>
      </c>
      <c r="G106" s="2"/>
      <c r="H106" s="2">
        <v>48.14</v>
      </c>
      <c r="I106" s="2"/>
      <c r="J106" s="19">
        <f t="shared" si="18"/>
        <v>3.0067011211047868E-4</v>
      </c>
      <c r="K106" s="2"/>
      <c r="L106" s="2">
        <f t="shared" si="19"/>
        <v>-48.14</v>
      </c>
      <c r="M106" s="2"/>
      <c r="N106" s="19">
        <f t="shared" si="20"/>
        <v>-1</v>
      </c>
      <c r="O106" s="11"/>
      <c r="P106" s="2"/>
      <c r="Q106" s="2"/>
      <c r="R106" s="19">
        <f t="shared" si="21"/>
        <v>0</v>
      </c>
      <c r="S106" s="2"/>
      <c r="T106" s="2">
        <v>48.14</v>
      </c>
      <c r="U106" s="2"/>
      <c r="V106" s="19">
        <f t="shared" si="22"/>
        <v>2.045020823316208E-5</v>
      </c>
      <c r="W106" s="2"/>
      <c r="X106" s="2">
        <f t="shared" si="23"/>
        <v>-48.14</v>
      </c>
      <c r="Y106" s="2"/>
      <c r="Z106" s="19">
        <f t="shared" si="24"/>
        <v>-1</v>
      </c>
    </row>
    <row r="107" spans="1:26" s="24" customFormat="1" hidden="1" outlineLevel="1" x14ac:dyDescent="0.25">
      <c r="A107" s="44"/>
      <c r="B107" s="11" t="str">
        <f>CONCATENATE("          ", "5527", " - ", "FREIGHT-IN-SCHOOL SUPPLIES")</f>
        <v xml:space="preserve">          5527 - FREIGHT-IN-SCHOOL SUPPLIES</v>
      </c>
      <c r="C107" s="11"/>
      <c r="D107" s="2"/>
      <c r="E107" s="2"/>
      <c r="F107" s="19">
        <f t="shared" si="17"/>
        <v>0</v>
      </c>
      <c r="G107" s="2"/>
      <c r="H107" s="2">
        <v>56</v>
      </c>
      <c r="I107" s="2"/>
      <c r="J107" s="19">
        <f t="shared" si="18"/>
        <v>3.4976165928929799E-4</v>
      </c>
      <c r="K107" s="2"/>
      <c r="L107" s="2">
        <f t="shared" si="19"/>
        <v>-56</v>
      </c>
      <c r="M107" s="2"/>
      <c r="N107" s="19">
        <f t="shared" si="20"/>
        <v>-1</v>
      </c>
      <c r="O107" s="11"/>
      <c r="P107" s="2">
        <v>0</v>
      </c>
      <c r="Q107" s="2"/>
      <c r="R107" s="19">
        <f t="shared" si="21"/>
        <v>0</v>
      </c>
      <c r="S107" s="2"/>
      <c r="T107" s="2">
        <v>56</v>
      </c>
      <c r="U107" s="2"/>
      <c r="V107" s="19">
        <f t="shared" si="22"/>
        <v>2.3789191131223023E-5</v>
      </c>
      <c r="W107" s="2"/>
      <c r="X107" s="2">
        <f t="shared" si="23"/>
        <v>-56</v>
      </c>
      <c r="Y107" s="2"/>
      <c r="Z107" s="19">
        <f t="shared" si="24"/>
        <v>-1</v>
      </c>
    </row>
    <row r="108" spans="1:26" s="24" customFormat="1" hidden="1" outlineLevel="1" x14ac:dyDescent="0.25">
      <c r="A108" s="44"/>
      <c r="B108" s="11" t="str">
        <f>CONCATENATE("          ", "5528", " - ", "FREIGHT-IN-ART/TECH")</f>
        <v xml:space="preserve">          5528 - FREIGHT-IN-ART/TECH</v>
      </c>
      <c r="C108" s="11"/>
      <c r="D108" s="2"/>
      <c r="E108" s="2"/>
      <c r="F108" s="19">
        <f t="shared" si="17"/>
        <v>0</v>
      </c>
      <c r="G108" s="2"/>
      <c r="H108" s="2">
        <v>239.39</v>
      </c>
      <c r="I108" s="2"/>
      <c r="J108" s="19">
        <f t="shared" si="18"/>
        <v>1.4951686360225899E-3</v>
      </c>
      <c r="K108" s="2"/>
      <c r="L108" s="2">
        <f t="shared" si="19"/>
        <v>-239.39</v>
      </c>
      <c r="M108" s="2"/>
      <c r="N108" s="19">
        <f t="shared" si="20"/>
        <v>-1</v>
      </c>
      <c r="O108" s="11"/>
      <c r="P108" s="2">
        <v>0</v>
      </c>
      <c r="Q108" s="2"/>
      <c r="R108" s="19">
        <f t="shared" si="21"/>
        <v>0</v>
      </c>
      <c r="S108" s="2"/>
      <c r="T108" s="2">
        <v>284.2</v>
      </c>
      <c r="U108" s="2"/>
      <c r="V108" s="19">
        <f t="shared" si="22"/>
        <v>1.2073014499095684E-4</v>
      </c>
      <c r="W108" s="2"/>
      <c r="X108" s="2">
        <f t="shared" si="23"/>
        <v>-284.2</v>
      </c>
      <c r="Y108" s="2"/>
      <c r="Z108" s="19">
        <f t="shared" si="24"/>
        <v>-1</v>
      </c>
    </row>
    <row r="109" spans="1:26" s="24" customFormat="1" hidden="1" outlineLevel="1" x14ac:dyDescent="0.25">
      <c r="A109" s="44"/>
      <c r="B109" s="11" t="str">
        <f>CONCATENATE("          ", "5540", " - ", "FREIGHT-IN-LOGO CLOTHING")</f>
        <v xml:space="preserve">          5540 - FREIGHT-IN-LOGO CLOTHING</v>
      </c>
      <c r="C109" s="11"/>
      <c r="D109" s="2"/>
      <c r="E109" s="2"/>
      <c r="F109" s="19">
        <f t="shared" si="17"/>
        <v>0</v>
      </c>
      <c r="G109" s="2"/>
      <c r="H109" s="2">
        <v>1036.57</v>
      </c>
      <c r="I109" s="2"/>
      <c r="J109" s="19">
        <f t="shared" si="18"/>
        <v>6.4741507708840637E-3</v>
      </c>
      <c r="K109" s="2"/>
      <c r="L109" s="2">
        <f t="shared" si="19"/>
        <v>-1036.57</v>
      </c>
      <c r="M109" s="2"/>
      <c r="N109" s="19">
        <f t="shared" si="20"/>
        <v>-1</v>
      </c>
      <c r="O109" s="11"/>
      <c r="P109" s="2">
        <v>0</v>
      </c>
      <c r="Q109" s="2"/>
      <c r="R109" s="19">
        <f t="shared" si="21"/>
        <v>0</v>
      </c>
      <c r="S109" s="2"/>
      <c r="T109" s="2">
        <v>3202.33</v>
      </c>
      <c r="U109" s="2"/>
      <c r="V109" s="19">
        <f t="shared" si="22"/>
        <v>1.3603721506294541E-3</v>
      </c>
      <c r="W109" s="2"/>
      <c r="X109" s="2">
        <f t="shared" si="23"/>
        <v>-3202.33</v>
      </c>
      <c r="Y109" s="2"/>
      <c r="Z109" s="19">
        <f t="shared" si="24"/>
        <v>-1</v>
      </c>
    </row>
    <row r="110" spans="1:26" s="24" customFormat="1" hidden="1" outlineLevel="1" x14ac:dyDescent="0.25">
      <c r="A110" s="44"/>
      <c r="B110" s="11" t="str">
        <f>CONCATENATE("          ", "5541", " - ", "FREIGHT-IN-LOGO GIFTS")</f>
        <v xml:space="preserve">          5541 - FREIGHT-IN-LOGO GIFTS</v>
      </c>
      <c r="C110" s="11"/>
      <c r="D110" s="2"/>
      <c r="E110" s="2"/>
      <c r="F110" s="19">
        <f t="shared" si="17"/>
        <v>0</v>
      </c>
      <c r="G110" s="2"/>
      <c r="H110" s="2">
        <v>773.7</v>
      </c>
      <c r="I110" s="2"/>
      <c r="J110" s="19">
        <f t="shared" si="18"/>
        <v>4.8323320677166048E-3</v>
      </c>
      <c r="K110" s="2"/>
      <c r="L110" s="2">
        <f t="shared" si="19"/>
        <v>-773.7</v>
      </c>
      <c r="M110" s="2"/>
      <c r="N110" s="19">
        <f t="shared" si="20"/>
        <v>-1</v>
      </c>
      <c r="O110" s="11"/>
      <c r="P110" s="2">
        <v>0</v>
      </c>
      <c r="Q110" s="2"/>
      <c r="R110" s="19">
        <f t="shared" si="21"/>
        <v>0</v>
      </c>
      <c r="S110" s="2"/>
      <c r="T110" s="2">
        <v>1134.81</v>
      </c>
      <c r="U110" s="2"/>
      <c r="V110" s="19">
        <f t="shared" si="22"/>
        <v>4.8207521406469999E-4</v>
      </c>
      <c r="W110" s="2"/>
      <c r="X110" s="2">
        <f t="shared" si="23"/>
        <v>-1134.81</v>
      </c>
      <c r="Y110" s="2"/>
      <c r="Z110" s="19">
        <f t="shared" si="24"/>
        <v>-1</v>
      </c>
    </row>
    <row r="111" spans="1:26" s="24" customFormat="1" hidden="1" outlineLevel="1" x14ac:dyDescent="0.25">
      <c r="A111" s="44"/>
      <c r="B111" s="11" t="str">
        <f>CONCATENATE("          ", "5542", " - ", "FREIGHT-IN-EVERYDAY GIFTS")</f>
        <v xml:space="preserve">          5542 - FREIGHT-IN-EVERYDAY GIFTS</v>
      </c>
      <c r="C111" s="11"/>
      <c r="D111" s="2"/>
      <c r="E111" s="2"/>
      <c r="F111" s="19">
        <f t="shared" si="17"/>
        <v>0</v>
      </c>
      <c r="G111" s="2"/>
      <c r="H111" s="2">
        <v>104.17</v>
      </c>
      <c r="I111" s="2"/>
      <c r="J111" s="19">
        <f t="shared" si="18"/>
        <v>6.5061914371725312E-4</v>
      </c>
      <c r="K111" s="2"/>
      <c r="L111" s="2">
        <f t="shared" si="19"/>
        <v>-104.17</v>
      </c>
      <c r="M111" s="2"/>
      <c r="N111" s="19">
        <f t="shared" si="20"/>
        <v>-1</v>
      </c>
      <c r="O111" s="11"/>
      <c r="P111" s="2">
        <v>0</v>
      </c>
      <c r="Q111" s="2"/>
      <c r="R111" s="19">
        <f t="shared" si="21"/>
        <v>0</v>
      </c>
      <c r="S111" s="2"/>
      <c r="T111" s="2">
        <v>175.55</v>
      </c>
      <c r="U111" s="2"/>
      <c r="V111" s="19">
        <f t="shared" si="22"/>
        <v>7.4574866126539326E-5</v>
      </c>
      <c r="W111" s="2"/>
      <c r="X111" s="2">
        <f t="shared" si="23"/>
        <v>-175.55</v>
      </c>
      <c r="Y111" s="2"/>
      <c r="Z111" s="19">
        <f t="shared" si="24"/>
        <v>-1</v>
      </c>
    </row>
    <row r="112" spans="1:26" s="24" customFormat="1" hidden="1" outlineLevel="1" x14ac:dyDescent="0.25">
      <c r="A112" s="44"/>
      <c r="B112" s="11" t="str">
        <f>CONCATENATE("          ", "5543", " - ", "FREIGHT-IN-CARDS")</f>
        <v xml:space="preserve">          5543 - FREIGHT-IN-CARDS</v>
      </c>
      <c r="C112" s="11"/>
      <c r="D112" s="2"/>
      <c r="E112" s="2"/>
      <c r="F112" s="19">
        <f t="shared" si="17"/>
        <v>0</v>
      </c>
      <c r="G112" s="2"/>
      <c r="H112" s="2">
        <v>107.42</v>
      </c>
      <c r="I112" s="2"/>
      <c r="J112" s="19">
        <f t="shared" si="18"/>
        <v>6.7091781144386407E-4</v>
      </c>
      <c r="K112" s="2"/>
      <c r="L112" s="2">
        <f t="shared" si="19"/>
        <v>-107.42</v>
      </c>
      <c r="M112" s="2"/>
      <c r="N112" s="19">
        <f t="shared" si="20"/>
        <v>-1</v>
      </c>
      <c r="O112" s="11"/>
      <c r="P112" s="2"/>
      <c r="Q112" s="2"/>
      <c r="R112" s="19">
        <f t="shared" si="21"/>
        <v>0</v>
      </c>
      <c r="S112" s="2"/>
      <c r="T112" s="2">
        <v>189.19</v>
      </c>
      <c r="U112" s="2"/>
      <c r="V112" s="19">
        <f t="shared" si="22"/>
        <v>8.0369233394930067E-5</v>
      </c>
      <c r="W112" s="2"/>
      <c r="X112" s="2">
        <f t="shared" si="23"/>
        <v>-189.19</v>
      </c>
      <c r="Y112" s="2"/>
      <c r="Z112" s="19">
        <f t="shared" si="24"/>
        <v>-1</v>
      </c>
    </row>
    <row r="113" spans="1:26" s="24" customFormat="1" hidden="1" outlineLevel="1" x14ac:dyDescent="0.25">
      <c r="A113" s="44"/>
      <c r="B113" s="11" t="str">
        <f>CONCATENATE("          ", "5544", " - ", "FREIGHT-IN-ACCESSORIES")</f>
        <v xml:space="preserve">          5544 - FREIGHT-IN-ACCESSORIES</v>
      </c>
      <c r="C113" s="11"/>
      <c r="D113" s="2"/>
      <c r="E113" s="2"/>
      <c r="F113" s="19">
        <f t="shared" si="17"/>
        <v>0</v>
      </c>
      <c r="G113" s="2"/>
      <c r="H113" s="2"/>
      <c r="I113" s="2"/>
      <c r="J113" s="19">
        <f t="shared" si="18"/>
        <v>0</v>
      </c>
      <c r="K113" s="2"/>
      <c r="L113" s="2">
        <f t="shared" si="19"/>
        <v>0</v>
      </c>
      <c r="M113" s="2"/>
      <c r="N113" s="19">
        <f t="shared" si="20"/>
        <v>0</v>
      </c>
      <c r="O113" s="11"/>
      <c r="P113" s="2">
        <v>0</v>
      </c>
      <c r="Q113" s="2"/>
      <c r="R113" s="19">
        <f t="shared" si="21"/>
        <v>0</v>
      </c>
      <c r="S113" s="2"/>
      <c r="T113" s="2"/>
      <c r="U113" s="2"/>
      <c r="V113" s="19">
        <f t="shared" si="22"/>
        <v>0</v>
      </c>
      <c r="W113" s="2"/>
      <c r="X113" s="2">
        <f t="shared" si="23"/>
        <v>0</v>
      </c>
      <c r="Y113" s="2"/>
      <c r="Z113" s="19">
        <f t="shared" si="24"/>
        <v>0</v>
      </c>
    </row>
    <row r="114" spans="1:26" s="24" customFormat="1" hidden="1" outlineLevel="1" x14ac:dyDescent="0.25">
      <c r="A114" s="44"/>
      <c r="B114" s="11" t="str">
        <f>CONCATENATE("          ", "5545", " - ", "FREIGHT-IN-SPECIAL ORDERS")</f>
        <v xml:space="preserve">          5545 - FREIGHT-IN-SPECIAL ORDERS</v>
      </c>
      <c r="C114" s="11"/>
      <c r="D114" s="2"/>
      <c r="E114" s="2"/>
      <c r="F114" s="19">
        <f t="shared" si="17"/>
        <v>0</v>
      </c>
      <c r="G114" s="2"/>
      <c r="H114" s="2">
        <v>189.66</v>
      </c>
      <c r="I114" s="2"/>
      <c r="J114" s="19">
        <f t="shared" si="18"/>
        <v>1.1845677910858616E-3</v>
      </c>
      <c r="K114" s="2"/>
      <c r="L114" s="2">
        <f t="shared" si="19"/>
        <v>-189.66</v>
      </c>
      <c r="M114" s="2"/>
      <c r="N114" s="19">
        <f t="shared" si="20"/>
        <v>-1</v>
      </c>
      <c r="O114" s="11"/>
      <c r="P114" s="2">
        <v>0</v>
      </c>
      <c r="Q114" s="2"/>
      <c r="R114" s="19">
        <f t="shared" si="21"/>
        <v>0</v>
      </c>
      <c r="S114" s="2"/>
      <c r="T114" s="2">
        <v>850.27</v>
      </c>
      <c r="U114" s="2"/>
      <c r="V114" s="19">
        <f t="shared" si="22"/>
        <v>3.6120063469901784E-4</v>
      </c>
      <c r="W114" s="2"/>
      <c r="X114" s="2">
        <f t="shared" si="23"/>
        <v>-850.27</v>
      </c>
      <c r="Y114" s="2"/>
      <c r="Z114" s="19">
        <f t="shared" si="24"/>
        <v>-1</v>
      </c>
    </row>
    <row r="115" spans="1:26" s="24" customFormat="1" hidden="1" outlineLevel="1" x14ac:dyDescent="0.25">
      <c r="A115" s="44"/>
      <c r="B115" s="11" t="str">
        <f>CONCATENATE("          ", "5592", " - ", "FREIGHT-IN-GRAD MERCH")</f>
        <v xml:space="preserve">          5592 - FREIGHT-IN-GRAD MERCH</v>
      </c>
      <c r="C115" s="11"/>
      <c r="D115" s="2"/>
      <c r="E115" s="2"/>
      <c r="F115" s="19">
        <f t="shared" si="17"/>
        <v>0</v>
      </c>
      <c r="G115" s="2"/>
      <c r="H115" s="2"/>
      <c r="I115" s="2"/>
      <c r="J115" s="19">
        <f t="shared" si="18"/>
        <v>0</v>
      </c>
      <c r="K115" s="2"/>
      <c r="L115" s="2">
        <f t="shared" si="19"/>
        <v>0</v>
      </c>
      <c r="M115" s="2"/>
      <c r="N115" s="19">
        <f t="shared" si="20"/>
        <v>0</v>
      </c>
      <c r="O115" s="11"/>
      <c r="P115" s="2"/>
      <c r="Q115" s="2"/>
      <c r="R115" s="19">
        <f t="shared" si="21"/>
        <v>0</v>
      </c>
      <c r="S115" s="2"/>
      <c r="T115" s="2">
        <v>0</v>
      </c>
      <c r="U115" s="2"/>
      <c r="V115" s="19">
        <f t="shared" si="22"/>
        <v>0</v>
      </c>
      <c r="W115" s="2"/>
      <c r="X115" s="2">
        <f t="shared" si="23"/>
        <v>0</v>
      </c>
      <c r="Y115" s="2"/>
      <c r="Z115" s="19">
        <f t="shared" si="24"/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6" t="s">
        <v>107</v>
      </c>
      <c r="C117" s="26"/>
      <c r="D117" s="22">
        <f>D12-D78</f>
        <v>239744.55999999988</v>
      </c>
      <c r="E117" s="13"/>
      <c r="F117" s="20">
        <f>IF(D$12=0,0,D117/D$12)</f>
        <v>0.43556361011741196</v>
      </c>
      <c r="G117" s="13"/>
      <c r="H117" s="22">
        <f>H12-H78</f>
        <v>73638.530000000072</v>
      </c>
      <c r="I117" s="13"/>
      <c r="J117" s="20">
        <f>IF(H$12=0,0,H117/H$12)</f>
        <v>0.45992740072187094</v>
      </c>
      <c r="K117" s="15"/>
      <c r="L117" s="22">
        <f>+D117-H117</f>
        <v>166106.0299999998</v>
      </c>
      <c r="M117" s="15"/>
      <c r="N117" s="20">
        <f>IF(H117=0,0,L117/H117)</f>
        <v>2.2556945392581795</v>
      </c>
      <c r="O117" s="25"/>
      <c r="P117" s="22">
        <f>P12-P78</f>
        <v>1052418.17</v>
      </c>
      <c r="Q117" s="13"/>
      <c r="R117" s="20">
        <f>IF(P$12=0,0,P117/P$12)</f>
        <v>0.36693031139897203</v>
      </c>
      <c r="S117" s="13"/>
      <c r="T117" s="22">
        <f>T12-T78</f>
        <v>813580.32999999938</v>
      </c>
      <c r="U117" s="13"/>
      <c r="V117" s="20">
        <f>IF(T$12=0,0,T117/T$12)</f>
        <v>0.34561460662452653</v>
      </c>
      <c r="W117" s="15"/>
      <c r="X117" s="22">
        <f>+P117-T117</f>
        <v>238837.84000000055</v>
      </c>
      <c r="Y117" s="15"/>
      <c r="Z117" s="20">
        <f>IF(T117=0,0,X117/T117)</f>
        <v>0.293563931173214</v>
      </c>
    </row>
    <row r="118" spans="1:26" x14ac:dyDescent="0.25">
      <c r="A118" s="9"/>
      <c r="B118" s="10"/>
      <c r="C118" s="9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x14ac:dyDescent="0.25">
      <c r="A119" s="10"/>
      <c r="B119" s="25" t="s">
        <v>294</v>
      </c>
      <c r="C119" s="10"/>
      <c r="D119" s="21">
        <f>SUM(OSRRefD22x_0)</f>
        <v>331202.60000000003</v>
      </c>
      <c r="E119" s="21"/>
      <c r="F119" s="36">
        <f t="shared" ref="F119:F130" si="25">IF(D$12=0,0,D119/D$12)</f>
        <v>0.60172293434425883</v>
      </c>
      <c r="G119" s="21"/>
      <c r="H119" s="21">
        <f>SUM(OSRRefH22x_0)</f>
        <v>320952.99000000011</v>
      </c>
      <c r="I119" s="21"/>
      <c r="J119" s="36">
        <f t="shared" ref="J119:J130" si="26">IF(H$12=0,0,H119/H$12)</f>
        <v>2.0045901845760983</v>
      </c>
      <c r="K119" s="4"/>
      <c r="L119" s="21">
        <f t="shared" ref="L119:L130" si="27">+D119-H119</f>
        <v>10249.609999999928</v>
      </c>
      <c r="M119" s="4"/>
      <c r="N119" s="36">
        <f t="shared" ref="N119:N130" si="28">IF(H119=0,0,L119/H119)</f>
        <v>3.1934926046334459E-2</v>
      </c>
      <c r="O119" s="10"/>
      <c r="P119" s="21">
        <f>SUM(OSRRefP22x_0)</f>
        <v>1326453.5899999994</v>
      </c>
      <c r="Q119" s="21"/>
      <c r="R119" s="36">
        <f t="shared" ref="R119:R130" si="29">IF(P$12=0,0,P119/P$12)</f>
        <v>0.46247398867598816</v>
      </c>
      <c r="S119" s="21"/>
      <c r="T119" s="21">
        <f>SUM(OSRRefT22x_0)</f>
        <v>1123241.1299999997</v>
      </c>
      <c r="U119" s="21"/>
      <c r="V119" s="36">
        <f t="shared" ref="V119:V130" si="30">IF(T$12=0,0,T119/T$12)</f>
        <v>0.47716067728608785</v>
      </c>
      <c r="W119" s="4"/>
      <c r="X119" s="21">
        <f t="shared" ref="X119:X130" si="31">+P119-T119</f>
        <v>203212.45999999973</v>
      </c>
      <c r="Y119" s="4"/>
      <c r="Z119" s="36">
        <f t="shared" ref="Z119:Z130" si="32">IF(T119=0,0,X119/T119)</f>
        <v>0.18091614932227401</v>
      </c>
    </row>
    <row r="120" spans="1:26" s="28" customFormat="1" outlineLevel="1" collapsed="1" x14ac:dyDescent="0.25">
      <c r="A120" s="27"/>
      <c r="B120" s="14" t="str">
        <f>CONCATENATE("     ","*Benefits                                         ")</f>
        <v xml:space="preserve">     *Benefits                                         </v>
      </c>
      <c r="C120" s="14"/>
      <c r="D120" s="1">
        <f>SUM(OSRRefD22_0x_0)</f>
        <v>60225.909999999996</v>
      </c>
      <c r="E120" s="1"/>
      <c r="F120" s="5">
        <f t="shared" si="25"/>
        <v>0.10941735146026402</v>
      </c>
      <c r="G120" s="1"/>
      <c r="H120" s="1">
        <f>SUM(OSRRefH22_0x_0)</f>
        <v>47918.080000000002</v>
      </c>
      <c r="I120" s="1"/>
      <c r="J120" s="5">
        <f t="shared" si="26"/>
        <v>0.29928405662066654</v>
      </c>
      <c r="K120" s="1"/>
      <c r="L120" s="1">
        <f t="shared" si="27"/>
        <v>12307.829999999994</v>
      </c>
      <c r="M120" s="1"/>
      <c r="N120" s="5">
        <f t="shared" si="28"/>
        <v>0.25685148486750708</v>
      </c>
      <c r="O120" s="14"/>
      <c r="P120" s="1">
        <f>SUM(OSRRefP22_0x_0)</f>
        <v>205838.87</v>
      </c>
      <c r="Q120" s="1"/>
      <c r="R120" s="5">
        <f t="shared" si="29"/>
        <v>7.1766644495611973E-2</v>
      </c>
      <c r="S120" s="1"/>
      <c r="T120" s="1">
        <f>SUM(OSRRefT22_0x_0)</f>
        <v>180908.62999999998</v>
      </c>
      <c r="U120" s="1"/>
      <c r="V120" s="5">
        <f t="shared" si="30"/>
        <v>7.6851249577816194E-2</v>
      </c>
      <c r="W120" s="1"/>
      <c r="X120" s="1">
        <f t="shared" si="31"/>
        <v>24930.24000000002</v>
      </c>
      <c r="Y120" s="1"/>
      <c r="Z120" s="5">
        <f t="shared" si="32"/>
        <v>0.13780569782657701</v>
      </c>
    </row>
    <row r="121" spans="1:26" s="24" customFormat="1" hidden="1" outlineLevel="2" x14ac:dyDescent="0.25">
      <c r="A121" s="29"/>
      <c r="B121" s="11" t="str">
        <f>CONCATENATE("          ", "6111", " - ", "F.I.C.A.")</f>
        <v xml:space="preserve">          6111 - F.I.C.A.</v>
      </c>
      <c r="C121" s="11"/>
      <c r="D121" s="6">
        <v>10663.18</v>
      </c>
      <c r="E121" s="2"/>
      <c r="F121" s="7">
        <f t="shared" si="25"/>
        <v>1.9372673883118714E-2</v>
      </c>
      <c r="G121" s="2"/>
      <c r="H121" s="6">
        <v>12100.84</v>
      </c>
      <c r="I121" s="2"/>
      <c r="J121" s="7">
        <f t="shared" si="26"/>
        <v>7.5578747807041227E-2</v>
      </c>
      <c r="K121" s="2"/>
      <c r="L121" s="6">
        <f t="shared" si="27"/>
        <v>-1437.6599999999999</v>
      </c>
      <c r="M121" s="2"/>
      <c r="N121" s="7">
        <f t="shared" si="28"/>
        <v>-0.11880662830018411</v>
      </c>
      <c r="O121" s="11"/>
      <c r="P121" s="6">
        <v>40210.71</v>
      </c>
      <c r="Q121" s="2"/>
      <c r="R121" s="7">
        <f t="shared" si="29"/>
        <v>1.4019644246425125E-2</v>
      </c>
      <c r="S121" s="2"/>
      <c r="T121" s="6">
        <v>41707.870000000003</v>
      </c>
      <c r="U121" s="2"/>
      <c r="V121" s="7">
        <f t="shared" si="30"/>
        <v>1.7717794484039338E-2</v>
      </c>
      <c r="W121" s="2"/>
      <c r="X121" s="6">
        <f t="shared" si="31"/>
        <v>-1497.1600000000035</v>
      </c>
      <c r="Y121" s="2"/>
      <c r="Z121" s="7">
        <f t="shared" si="32"/>
        <v>-3.5896342824507779E-2</v>
      </c>
    </row>
    <row r="122" spans="1:26" s="24" customFormat="1" hidden="1" outlineLevel="2" x14ac:dyDescent="0.25">
      <c r="A122" s="29"/>
      <c r="B122" s="11" t="str">
        <f>CONCATENATE("          ", "6112", " - ", "COMPENSATION INSURANCE")</f>
        <v xml:space="preserve">          6112 - COMPENSATION INSURANCE</v>
      </c>
      <c r="C122" s="11"/>
      <c r="D122" s="6">
        <v>3295.05</v>
      </c>
      <c r="E122" s="2"/>
      <c r="F122" s="7">
        <f t="shared" si="25"/>
        <v>5.9863876515795769E-3</v>
      </c>
      <c r="G122" s="2"/>
      <c r="H122" s="6">
        <v>1743.97</v>
      </c>
      <c r="I122" s="2"/>
      <c r="J122" s="7">
        <f t="shared" si="26"/>
        <v>1.0892390016977805E-2</v>
      </c>
      <c r="K122" s="2"/>
      <c r="L122" s="6">
        <f t="shared" si="27"/>
        <v>1551.0800000000002</v>
      </c>
      <c r="M122" s="2"/>
      <c r="N122" s="7">
        <f t="shared" si="28"/>
        <v>0.88939603318864435</v>
      </c>
      <c r="O122" s="11"/>
      <c r="P122" s="6">
        <v>10293.620000000001</v>
      </c>
      <c r="Q122" s="2"/>
      <c r="R122" s="7">
        <f t="shared" si="29"/>
        <v>3.5889167440188597E-3</v>
      </c>
      <c r="S122" s="2"/>
      <c r="T122" s="6">
        <v>9958.42</v>
      </c>
      <c r="U122" s="2"/>
      <c r="V122" s="7">
        <f t="shared" si="30"/>
        <v>4.2304063704463211E-3</v>
      </c>
      <c r="W122" s="2"/>
      <c r="X122" s="6">
        <f t="shared" si="31"/>
        <v>335.20000000000073</v>
      </c>
      <c r="Y122" s="2"/>
      <c r="Z122" s="7">
        <f t="shared" si="32"/>
        <v>3.3659958105804008E-2</v>
      </c>
    </row>
    <row r="123" spans="1:26" s="24" customFormat="1" hidden="1" outlineLevel="2" x14ac:dyDescent="0.25">
      <c r="A123" s="29"/>
      <c r="B123" s="11" t="str">
        <f>CONCATENATE("          ", "6113", " - ", "GROUP INSURANCE")</f>
        <v xml:space="preserve">          6113 - GROUP INSURANCE</v>
      </c>
      <c r="C123" s="11"/>
      <c r="D123" s="6">
        <v>18566.900000000001</v>
      </c>
      <c r="E123" s="2"/>
      <c r="F123" s="7">
        <f t="shared" si="25"/>
        <v>3.3732010405946145E-2</v>
      </c>
      <c r="G123" s="2"/>
      <c r="H123" s="6">
        <v>14801.22</v>
      </c>
      <c r="I123" s="2"/>
      <c r="J123" s="7">
        <f t="shared" si="26"/>
        <v>9.2444629762606118E-2</v>
      </c>
      <c r="K123" s="2"/>
      <c r="L123" s="6">
        <f t="shared" si="27"/>
        <v>3765.6800000000021</v>
      </c>
      <c r="M123" s="2"/>
      <c r="N123" s="7">
        <f t="shared" si="28"/>
        <v>0.2544168656367517</v>
      </c>
      <c r="O123" s="11"/>
      <c r="P123" s="6">
        <v>72281.11</v>
      </c>
      <c r="Q123" s="2"/>
      <c r="R123" s="7">
        <f t="shared" si="29"/>
        <v>2.5201132930423802E-2</v>
      </c>
      <c r="S123" s="2"/>
      <c r="T123" s="6">
        <v>58586.21</v>
      </c>
      <c r="U123" s="2"/>
      <c r="V123" s="7">
        <f t="shared" si="30"/>
        <v>2.4887831202570886E-2</v>
      </c>
      <c r="W123" s="2"/>
      <c r="X123" s="6">
        <f t="shared" si="31"/>
        <v>13694.900000000001</v>
      </c>
      <c r="Y123" s="2"/>
      <c r="Z123" s="7">
        <f t="shared" si="32"/>
        <v>0.23375637372685487</v>
      </c>
    </row>
    <row r="124" spans="1:26" s="24" customFormat="1" hidden="1" outlineLevel="2" x14ac:dyDescent="0.25">
      <c r="A124" s="29"/>
      <c r="B124" s="11" t="str">
        <f>CONCATENATE("          ", "6114", " - ", "STATE UNEMPLOYMENT INSURANCE")</f>
        <v xml:space="preserve">          6114 - STATE UNEMPLOYMENT INSURANCE</v>
      </c>
      <c r="C124" s="11"/>
      <c r="D124" s="6">
        <v>592.89</v>
      </c>
      <c r="E124" s="2"/>
      <c r="F124" s="7">
        <f t="shared" si="25"/>
        <v>1.0771519020181834E-3</v>
      </c>
      <c r="G124" s="2"/>
      <c r="H124" s="6">
        <v>302.25</v>
      </c>
      <c r="I124" s="2"/>
      <c r="J124" s="7">
        <f t="shared" si="26"/>
        <v>1.887776098574827E-3</v>
      </c>
      <c r="K124" s="2"/>
      <c r="L124" s="6">
        <f t="shared" si="27"/>
        <v>290.64</v>
      </c>
      <c r="M124" s="2"/>
      <c r="N124" s="7">
        <f t="shared" si="28"/>
        <v>0.96158808933002482</v>
      </c>
      <c r="O124" s="11"/>
      <c r="P124" s="6">
        <v>1860.18</v>
      </c>
      <c r="Q124" s="2"/>
      <c r="R124" s="7">
        <f t="shared" si="29"/>
        <v>6.485600934257339E-4</v>
      </c>
      <c r="S124" s="2"/>
      <c r="T124" s="6">
        <v>1438.09</v>
      </c>
      <c r="U124" s="2"/>
      <c r="V124" s="7">
        <f t="shared" si="30"/>
        <v>6.1091067631965207E-4</v>
      </c>
      <c r="W124" s="2"/>
      <c r="X124" s="6">
        <f t="shared" si="31"/>
        <v>422.09000000000015</v>
      </c>
      <c r="Y124" s="2"/>
      <c r="Z124" s="7">
        <f t="shared" si="32"/>
        <v>0.29350736045727333</v>
      </c>
    </row>
    <row r="125" spans="1:26" s="24" customFormat="1" hidden="1" outlineLevel="2" x14ac:dyDescent="0.25">
      <c r="A125" s="29"/>
      <c r="B125" s="11" t="str">
        <f>CONCATENATE("          ", "6115", " - ", "P.E.R.S.")</f>
        <v xml:space="preserve">          6115 - P.E.R.S.</v>
      </c>
      <c r="C125" s="11"/>
      <c r="D125" s="6">
        <v>9444.34</v>
      </c>
      <c r="E125" s="2"/>
      <c r="F125" s="7">
        <f t="shared" si="25"/>
        <v>1.7158307264933479E-2</v>
      </c>
      <c r="G125" s="2"/>
      <c r="H125" s="6">
        <v>4938.6400000000003</v>
      </c>
      <c r="I125" s="2"/>
      <c r="J125" s="7">
        <f t="shared" si="26"/>
        <v>3.0845480732723193E-2</v>
      </c>
      <c r="K125" s="2"/>
      <c r="L125" s="6">
        <f t="shared" si="27"/>
        <v>4505.7</v>
      </c>
      <c r="M125" s="2"/>
      <c r="N125" s="7">
        <f t="shared" si="28"/>
        <v>0.91233618972024677</v>
      </c>
      <c r="O125" s="11"/>
      <c r="P125" s="6">
        <v>28333.03</v>
      </c>
      <c r="Q125" s="2"/>
      <c r="R125" s="7">
        <f t="shared" si="29"/>
        <v>9.8784378844166253E-3</v>
      </c>
      <c r="S125" s="2"/>
      <c r="T125" s="6">
        <v>25183.17</v>
      </c>
      <c r="U125" s="2"/>
      <c r="V125" s="7">
        <f t="shared" si="30"/>
        <v>1.0697986507501459E-2</v>
      </c>
      <c r="W125" s="2"/>
      <c r="X125" s="6">
        <f t="shared" si="31"/>
        <v>3149.8600000000006</v>
      </c>
      <c r="Y125" s="2"/>
      <c r="Z125" s="7">
        <f t="shared" si="32"/>
        <v>0.12507797866591064</v>
      </c>
    </row>
    <row r="126" spans="1:26" s="24" customFormat="1" hidden="1" outlineLevel="2" x14ac:dyDescent="0.25">
      <c r="A126" s="29"/>
      <c r="B126" s="11" t="str">
        <f>CONCATENATE("          ", "6116", " - ", "EDUCATIONAL BENEFITS")</f>
        <v xml:space="preserve">          6116 - EDUCATIONAL BENEFITS</v>
      </c>
      <c r="C126" s="11"/>
      <c r="D126" s="6"/>
      <c r="E126" s="2"/>
      <c r="F126" s="7">
        <f t="shared" si="25"/>
        <v>0</v>
      </c>
      <c r="G126" s="2"/>
      <c r="H126" s="6"/>
      <c r="I126" s="2"/>
      <c r="J126" s="7">
        <f t="shared" si="26"/>
        <v>0</v>
      </c>
      <c r="K126" s="2"/>
      <c r="L126" s="6">
        <f t="shared" si="27"/>
        <v>0</v>
      </c>
      <c r="M126" s="2"/>
      <c r="N126" s="7">
        <f t="shared" si="28"/>
        <v>0</v>
      </c>
      <c r="O126" s="11"/>
      <c r="P126" s="6"/>
      <c r="Q126" s="2"/>
      <c r="R126" s="7">
        <f t="shared" si="29"/>
        <v>0</v>
      </c>
      <c r="S126" s="2"/>
      <c r="T126" s="6">
        <v>0</v>
      </c>
      <c r="U126" s="2"/>
      <c r="V126" s="7">
        <f t="shared" si="30"/>
        <v>0</v>
      </c>
      <c r="W126" s="2"/>
      <c r="X126" s="6">
        <f t="shared" si="31"/>
        <v>0</v>
      </c>
      <c r="Y126" s="2"/>
      <c r="Z126" s="7">
        <f t="shared" si="32"/>
        <v>0</v>
      </c>
    </row>
    <row r="127" spans="1:26" s="24" customFormat="1" hidden="1" outlineLevel="2" x14ac:dyDescent="0.25">
      <c r="A127" s="29"/>
      <c r="B127" s="11" t="str">
        <f>CONCATENATE("          ", "6117", " - ", "RETIREMENT STAFF HOURLY")</f>
        <v xml:space="preserve">          6117 - RETIREMENT STAFF HOURLY</v>
      </c>
      <c r="C127" s="11"/>
      <c r="D127" s="6">
        <v>576.07000000000005</v>
      </c>
      <c r="E127" s="2"/>
      <c r="F127" s="7">
        <f t="shared" si="25"/>
        <v>1.046593628152971E-3</v>
      </c>
      <c r="G127" s="2"/>
      <c r="H127" s="6">
        <v>222.97</v>
      </c>
      <c r="I127" s="2"/>
      <c r="J127" s="7">
        <f t="shared" si="26"/>
        <v>1.3926135209238351E-3</v>
      </c>
      <c r="K127" s="2"/>
      <c r="L127" s="6">
        <f t="shared" si="27"/>
        <v>353.1</v>
      </c>
      <c r="M127" s="2"/>
      <c r="N127" s="7">
        <f t="shared" si="28"/>
        <v>1.5836211149481993</v>
      </c>
      <c r="O127" s="11"/>
      <c r="P127" s="6">
        <v>2515.7199999999998</v>
      </c>
      <c r="Q127" s="2"/>
      <c r="R127" s="7">
        <f t="shared" si="29"/>
        <v>8.7711705223848606E-4</v>
      </c>
      <c r="S127" s="2"/>
      <c r="T127" s="6">
        <v>1060.74</v>
      </c>
      <c r="U127" s="2"/>
      <c r="V127" s="7">
        <f t="shared" si="30"/>
        <v>4.506097607238127E-4</v>
      </c>
      <c r="W127" s="2"/>
      <c r="X127" s="6">
        <f t="shared" si="31"/>
        <v>1454.9799999999998</v>
      </c>
      <c r="Y127" s="2"/>
      <c r="Z127" s="7">
        <f t="shared" si="32"/>
        <v>1.3716650640119159</v>
      </c>
    </row>
    <row r="128" spans="1:26" s="24" customFormat="1" hidden="1" outlineLevel="2" x14ac:dyDescent="0.25">
      <c r="A128" s="29"/>
      <c r="B128" s="11" t="str">
        <f>CONCATENATE("          ", "6118", " - ", "VACATION")</f>
        <v xml:space="preserve">          6118 - VACATION</v>
      </c>
      <c r="C128" s="11"/>
      <c r="D128" s="6">
        <v>7622.27</v>
      </c>
      <c r="E128" s="2"/>
      <c r="F128" s="7">
        <f t="shared" si="25"/>
        <v>1.3848003218465719E-2</v>
      </c>
      <c r="G128" s="2"/>
      <c r="H128" s="6">
        <v>6844.14</v>
      </c>
      <c r="I128" s="2"/>
      <c r="J128" s="7">
        <f t="shared" si="26"/>
        <v>4.2746745764433144E-2</v>
      </c>
      <c r="K128" s="2"/>
      <c r="L128" s="6">
        <f t="shared" si="27"/>
        <v>778.13000000000011</v>
      </c>
      <c r="M128" s="2"/>
      <c r="N128" s="7">
        <f t="shared" si="28"/>
        <v>0.11369288179376812</v>
      </c>
      <c r="O128" s="11"/>
      <c r="P128" s="6">
        <v>23247.599999999999</v>
      </c>
      <c r="Q128" s="2"/>
      <c r="R128" s="7">
        <f t="shared" si="29"/>
        <v>8.1053799244826252E-3</v>
      </c>
      <c r="S128" s="2"/>
      <c r="T128" s="6">
        <v>21273.71</v>
      </c>
      <c r="U128" s="2"/>
      <c r="V128" s="7">
        <f t="shared" si="30"/>
        <v>9.0372205939323307E-3</v>
      </c>
      <c r="W128" s="2"/>
      <c r="X128" s="6">
        <f t="shared" si="31"/>
        <v>1973.8899999999994</v>
      </c>
      <c r="Y128" s="2"/>
      <c r="Z128" s="7">
        <f t="shared" si="32"/>
        <v>9.2785414485766687E-2</v>
      </c>
    </row>
    <row r="129" spans="1:26" s="24" customFormat="1" hidden="1" outlineLevel="2" x14ac:dyDescent="0.25">
      <c r="A129" s="29"/>
      <c r="B129" s="11" t="str">
        <f>CONCATENATE("          ", "6119", " - ", "SICK LEAVE")</f>
        <v xml:space="preserve">          6119 - SICK LEAVE</v>
      </c>
      <c r="C129" s="11"/>
      <c r="D129" s="6">
        <v>5499.11</v>
      </c>
      <c r="E129" s="2"/>
      <c r="F129" s="7">
        <f t="shared" si="25"/>
        <v>9.9906842684262046E-3</v>
      </c>
      <c r="G129" s="2"/>
      <c r="H129" s="6">
        <v>5141</v>
      </c>
      <c r="I129" s="2"/>
      <c r="J129" s="7">
        <f t="shared" si="26"/>
        <v>3.2109369471540729E-2</v>
      </c>
      <c r="K129" s="2"/>
      <c r="L129" s="6">
        <f t="shared" si="27"/>
        <v>358.10999999999967</v>
      </c>
      <c r="M129" s="2"/>
      <c r="N129" s="7">
        <f t="shared" si="28"/>
        <v>6.9657654152888479E-2</v>
      </c>
      <c r="O129" s="11"/>
      <c r="P129" s="6">
        <v>17169.580000000002</v>
      </c>
      <c r="Q129" s="2"/>
      <c r="R129" s="7">
        <f t="shared" si="29"/>
        <v>5.9862510127410319E-3</v>
      </c>
      <c r="S129" s="2"/>
      <c r="T129" s="6">
        <v>15619.46</v>
      </c>
      <c r="U129" s="2"/>
      <c r="V129" s="7">
        <f t="shared" si="30"/>
        <v>6.6352557019016562E-3</v>
      </c>
      <c r="W129" s="2"/>
      <c r="X129" s="6">
        <f t="shared" si="31"/>
        <v>1550.1200000000026</v>
      </c>
      <c r="Y129" s="2"/>
      <c r="Z129" s="7">
        <f t="shared" si="32"/>
        <v>9.9242867551119093E-2</v>
      </c>
    </row>
    <row r="130" spans="1:26" s="24" customFormat="1" hidden="1" outlineLevel="2" x14ac:dyDescent="0.25">
      <c r="A130" s="29"/>
      <c r="B130" s="11" t="str">
        <f>CONCATENATE("          ", "6156", " - ", "EMPLOYEE MEALS")</f>
        <v xml:space="preserve">          6156 - EMPLOYEE MEALS</v>
      </c>
      <c r="C130" s="11"/>
      <c r="D130" s="6">
        <v>3966.1</v>
      </c>
      <c r="E130" s="2"/>
      <c r="F130" s="7">
        <f t="shared" si="25"/>
        <v>7.2055392376230284E-3</v>
      </c>
      <c r="G130" s="2"/>
      <c r="H130" s="6">
        <v>1823.05</v>
      </c>
      <c r="I130" s="2"/>
      <c r="J130" s="7">
        <f t="shared" si="26"/>
        <v>1.138630344584562E-2</v>
      </c>
      <c r="K130" s="2"/>
      <c r="L130" s="6">
        <f t="shared" si="27"/>
        <v>2143.0500000000002</v>
      </c>
      <c r="M130" s="2"/>
      <c r="N130" s="7">
        <f t="shared" si="28"/>
        <v>1.1755300183757988</v>
      </c>
      <c r="O130" s="11"/>
      <c r="P130" s="6">
        <v>9927.32</v>
      </c>
      <c r="Q130" s="2"/>
      <c r="R130" s="7">
        <f t="shared" si="29"/>
        <v>3.4612046074396865E-3</v>
      </c>
      <c r="S130" s="2"/>
      <c r="T130" s="6">
        <v>6080.96</v>
      </c>
      <c r="U130" s="2"/>
      <c r="V130" s="7">
        <f t="shared" si="30"/>
        <v>2.5832342803807492E-3</v>
      </c>
      <c r="W130" s="2"/>
      <c r="X130" s="6">
        <f t="shared" si="31"/>
        <v>3846.3599999999997</v>
      </c>
      <c r="Y130" s="2"/>
      <c r="Z130" s="7">
        <f t="shared" si="32"/>
        <v>0.63252512761142976</v>
      </c>
    </row>
    <row r="131" spans="1:26" s="28" customFormat="1" outlineLevel="1" collapsed="1" x14ac:dyDescent="0.25">
      <c r="A131" s="27"/>
      <c r="B131" s="14" t="str">
        <f>CONCATENATE("     ","*Payroll                                          ")</f>
        <v xml:space="preserve">     *Payroll                                          </v>
      </c>
      <c r="C131" s="14"/>
      <c r="D131" s="1">
        <f>SUM(OSRRefD22_1x_0)</f>
        <v>172006.66000000003</v>
      </c>
      <c r="E131" s="1"/>
      <c r="F131" s="5">
        <f t="shared" ref="F131:F138" si="33">IF(D$12=0,0,D131/D$12)</f>
        <v>0.31249861016174169</v>
      </c>
      <c r="G131" s="1"/>
      <c r="H131" s="1">
        <f>SUM(OSRRefH22_1x_0)</f>
        <v>117475.85999999999</v>
      </c>
      <c r="I131" s="1"/>
      <c r="J131" s="5">
        <f t="shared" ref="J131:J138" si="34">IF(H$12=0,0,H131/H$12)</f>
        <v>0.73372413785780832</v>
      </c>
      <c r="K131" s="1"/>
      <c r="L131" s="1">
        <f t="shared" ref="L131:L138" si="35">+D131-H131</f>
        <v>54530.800000000047</v>
      </c>
      <c r="M131" s="1"/>
      <c r="N131" s="5">
        <f t="shared" ref="N131:N138" si="36">IF(H131=0,0,L131/H131)</f>
        <v>0.46418728068898624</v>
      </c>
      <c r="O131" s="14"/>
      <c r="P131" s="1">
        <f>SUM(OSRRefP22_1x_0)</f>
        <v>683540.45</v>
      </c>
      <c r="Q131" s="1"/>
      <c r="R131" s="5">
        <f t="shared" ref="R131:R138" si="37">IF(P$12=0,0,P131/P$12)</f>
        <v>0.23831944118970644</v>
      </c>
      <c r="S131" s="1"/>
      <c r="T131" s="1">
        <f>SUM(OSRRefT22_1x_0)</f>
        <v>518204.42999999993</v>
      </c>
      <c r="U131" s="1"/>
      <c r="V131" s="5">
        <f t="shared" ref="V131:V138" si="38">IF(T$12=0,0,T131/T$12)</f>
        <v>0.22013686125565143</v>
      </c>
      <c r="W131" s="1"/>
      <c r="X131" s="1">
        <f t="shared" ref="X131:X138" si="39">+P131-T131</f>
        <v>165336.02000000002</v>
      </c>
      <c r="Y131" s="1"/>
      <c r="Z131" s="5">
        <f t="shared" ref="Z131:Z138" si="40">IF(T131=0,0,X131/T131)</f>
        <v>0.31905558970231118</v>
      </c>
    </row>
    <row r="132" spans="1:26" s="24" customFormat="1" hidden="1" outlineLevel="2" x14ac:dyDescent="0.25">
      <c r="A132" s="29"/>
      <c r="B132" s="11" t="str">
        <f>CONCATENATE("          ", "6001", " - ", "ADMINISTRATIVE SALARIES")</f>
        <v xml:space="preserve">          6001 - ADMINISTRATIVE SALARIES</v>
      </c>
      <c r="C132" s="11"/>
      <c r="D132" s="6">
        <v>4926.78</v>
      </c>
      <c r="E132" s="2"/>
      <c r="F132" s="7">
        <f t="shared" si="33"/>
        <v>8.9508854050922518E-3</v>
      </c>
      <c r="G132" s="2"/>
      <c r="H132" s="6">
        <v>4205.17</v>
      </c>
      <c r="I132" s="2"/>
      <c r="J132" s="7">
        <f t="shared" si="34"/>
        <v>2.626441494274245E-2</v>
      </c>
      <c r="K132" s="2"/>
      <c r="L132" s="6">
        <f t="shared" si="35"/>
        <v>721.60999999999967</v>
      </c>
      <c r="M132" s="2"/>
      <c r="N132" s="7">
        <f t="shared" si="36"/>
        <v>0.171600672505511</v>
      </c>
      <c r="O132" s="11"/>
      <c r="P132" s="6">
        <v>19484.080000000002</v>
      </c>
      <c r="Q132" s="2"/>
      <c r="R132" s="7">
        <f t="shared" si="37"/>
        <v>6.7932118102089437E-3</v>
      </c>
      <c r="S132" s="2"/>
      <c r="T132" s="6">
        <v>17142.5</v>
      </c>
      <c r="U132" s="2"/>
      <c r="V132" s="7">
        <f t="shared" si="38"/>
        <v>7.2822537315534053E-3</v>
      </c>
      <c r="W132" s="2"/>
      <c r="X132" s="6">
        <f t="shared" si="39"/>
        <v>2341.5800000000017</v>
      </c>
      <c r="Y132" s="2"/>
      <c r="Z132" s="7">
        <f t="shared" si="40"/>
        <v>0.13659501239609168</v>
      </c>
    </row>
    <row r="133" spans="1:26" s="24" customFormat="1" hidden="1" outlineLevel="2" x14ac:dyDescent="0.25">
      <c r="A133" s="29"/>
      <c r="B133" s="11" t="str">
        <f>CONCATENATE("          ", "6002", " - ", "STAFF SALARIES")</f>
        <v xml:space="preserve">          6002 - STAFF SALARIES</v>
      </c>
      <c r="C133" s="11"/>
      <c r="D133" s="6">
        <v>62962.98</v>
      </c>
      <c r="E133" s="2"/>
      <c r="F133" s="7">
        <f t="shared" si="33"/>
        <v>0.11439001107074305</v>
      </c>
      <c r="G133" s="2"/>
      <c r="H133" s="6">
        <v>55040.29</v>
      </c>
      <c r="I133" s="2"/>
      <c r="J133" s="7">
        <f t="shared" si="34"/>
        <v>0.34376755639578849</v>
      </c>
      <c r="K133" s="2"/>
      <c r="L133" s="6">
        <f t="shared" si="35"/>
        <v>7922.6900000000023</v>
      </c>
      <c r="M133" s="2"/>
      <c r="N133" s="7">
        <f t="shared" si="36"/>
        <v>0.1439434639606732</v>
      </c>
      <c r="O133" s="11"/>
      <c r="P133" s="6">
        <v>249566.05</v>
      </c>
      <c r="Q133" s="2"/>
      <c r="R133" s="7">
        <f t="shared" si="37"/>
        <v>8.7012321766652342E-2</v>
      </c>
      <c r="S133" s="2"/>
      <c r="T133" s="6">
        <v>226974.17</v>
      </c>
      <c r="U133" s="2"/>
      <c r="V133" s="7">
        <f t="shared" si="38"/>
        <v>9.6420212713941203E-2</v>
      </c>
      <c r="W133" s="2"/>
      <c r="X133" s="6">
        <f t="shared" si="39"/>
        <v>22591.879999999976</v>
      </c>
      <c r="Y133" s="2"/>
      <c r="Z133" s="7">
        <f t="shared" si="40"/>
        <v>9.9535026386482539E-2</v>
      </c>
    </row>
    <row r="134" spans="1:26" s="24" customFormat="1" hidden="1" outlineLevel="2" x14ac:dyDescent="0.25">
      <c r="A134" s="29"/>
      <c r="B134" s="11" t="str">
        <f>CONCATENATE("          ", "6004", " - ", "STAFF HOURLY")</f>
        <v xml:space="preserve">          6004 - STAFF HOURLY</v>
      </c>
      <c r="C134" s="11"/>
      <c r="D134" s="6">
        <v>30372.86</v>
      </c>
      <c r="E134" s="2"/>
      <c r="F134" s="7">
        <f t="shared" si="33"/>
        <v>5.5180866465502881E-2</v>
      </c>
      <c r="G134" s="2"/>
      <c r="H134" s="6">
        <v>18098.75</v>
      </c>
      <c r="I134" s="2"/>
      <c r="J134" s="7">
        <f t="shared" si="34"/>
        <v>0.11304015769753896</v>
      </c>
      <c r="K134" s="2"/>
      <c r="L134" s="6">
        <f t="shared" si="35"/>
        <v>12274.11</v>
      </c>
      <c r="M134" s="2"/>
      <c r="N134" s="7">
        <f t="shared" si="36"/>
        <v>0.67817445956212452</v>
      </c>
      <c r="O134" s="11"/>
      <c r="P134" s="6">
        <v>89984.75</v>
      </c>
      <c r="Q134" s="2"/>
      <c r="R134" s="7">
        <f t="shared" si="37"/>
        <v>3.1373586355563067E-2</v>
      </c>
      <c r="S134" s="2"/>
      <c r="T134" s="6">
        <v>63576.800000000003</v>
      </c>
      <c r="U134" s="2"/>
      <c r="V134" s="7">
        <f t="shared" si="38"/>
        <v>2.7007868691277501E-2</v>
      </c>
      <c r="W134" s="2"/>
      <c r="X134" s="6">
        <f t="shared" si="39"/>
        <v>26407.949999999997</v>
      </c>
      <c r="Y134" s="2"/>
      <c r="Z134" s="7">
        <f t="shared" si="40"/>
        <v>0.4153708585521762</v>
      </c>
    </row>
    <row r="135" spans="1:26" s="24" customFormat="1" hidden="1" outlineLevel="2" x14ac:dyDescent="0.25">
      <c r="A135" s="29"/>
      <c r="B135" s="11" t="str">
        <f>CONCATENATE("          ", "6005", " - ", "TEMPORARY WAGES-HOURLY")</f>
        <v xml:space="preserve">          6005 - TEMPORARY WAGES-HOURLY</v>
      </c>
      <c r="C135" s="11"/>
      <c r="D135" s="6">
        <v>11398.46</v>
      </c>
      <c r="E135" s="2"/>
      <c r="F135" s="7">
        <f t="shared" si="33"/>
        <v>2.0708517379409642E-2</v>
      </c>
      <c r="G135" s="2"/>
      <c r="H135" s="6">
        <v>19636.400000000001</v>
      </c>
      <c r="I135" s="2"/>
      <c r="J135" s="7">
        <f t="shared" si="34"/>
        <v>0.12264392582979235</v>
      </c>
      <c r="K135" s="2"/>
      <c r="L135" s="6">
        <f t="shared" si="35"/>
        <v>-8237.9400000000023</v>
      </c>
      <c r="M135" s="2"/>
      <c r="N135" s="7">
        <f t="shared" si="36"/>
        <v>-0.41952394532602727</v>
      </c>
      <c r="O135" s="11"/>
      <c r="P135" s="6">
        <v>39157.17</v>
      </c>
      <c r="Q135" s="2"/>
      <c r="R135" s="7">
        <f t="shared" si="37"/>
        <v>1.3652322803969153E-2</v>
      </c>
      <c r="S135" s="2"/>
      <c r="T135" s="6">
        <v>80368.899999999994</v>
      </c>
      <c r="U135" s="2"/>
      <c r="V135" s="7">
        <f t="shared" si="38"/>
        <v>3.4141270055466966E-2</v>
      </c>
      <c r="W135" s="2"/>
      <c r="X135" s="6">
        <f t="shared" si="39"/>
        <v>-41211.729999999996</v>
      </c>
      <c r="Y135" s="2"/>
      <c r="Z135" s="7">
        <f t="shared" si="40"/>
        <v>-0.5127820587316736</v>
      </c>
    </row>
    <row r="136" spans="1:26" s="24" customFormat="1" hidden="1" outlineLevel="2" x14ac:dyDescent="0.25">
      <c r="A136" s="29"/>
      <c r="B136" s="11" t="str">
        <f>CONCATENATE("          ", "6006", " - ", "TEMPORARY PART TIME")</f>
        <v xml:space="preserve">          6006 - TEMPORARY PART TIME</v>
      </c>
      <c r="C136" s="11"/>
      <c r="D136" s="6">
        <v>781.97</v>
      </c>
      <c r="E136" s="2"/>
      <c r="F136" s="7">
        <f t="shared" si="33"/>
        <v>1.4206690496064345E-3</v>
      </c>
      <c r="G136" s="2"/>
      <c r="H136" s="6">
        <v>1802.76</v>
      </c>
      <c r="I136" s="2"/>
      <c r="J136" s="7">
        <f t="shared" si="34"/>
        <v>1.1259577301792409E-2</v>
      </c>
      <c r="K136" s="2"/>
      <c r="L136" s="6">
        <f t="shared" si="35"/>
        <v>-1020.79</v>
      </c>
      <c r="M136" s="2"/>
      <c r="N136" s="7">
        <f t="shared" si="36"/>
        <v>-0.56623732499057</v>
      </c>
      <c r="O136" s="11"/>
      <c r="P136" s="6">
        <v>9877.6200000000008</v>
      </c>
      <c r="Q136" s="2"/>
      <c r="R136" s="7">
        <f t="shared" si="37"/>
        <v>3.4438764797083601E-3</v>
      </c>
      <c r="S136" s="2"/>
      <c r="T136" s="6">
        <v>7507.17</v>
      </c>
      <c r="U136" s="2"/>
      <c r="V136" s="7">
        <f t="shared" si="38"/>
        <v>3.1890982497247062E-3</v>
      </c>
      <c r="W136" s="2"/>
      <c r="X136" s="6">
        <f t="shared" si="39"/>
        <v>2370.4500000000007</v>
      </c>
      <c r="Y136" s="2"/>
      <c r="Z136" s="7">
        <f t="shared" si="40"/>
        <v>0.31575813522272717</v>
      </c>
    </row>
    <row r="137" spans="1:26" s="24" customFormat="1" hidden="1" outlineLevel="2" x14ac:dyDescent="0.25">
      <c r="A137" s="29"/>
      <c r="B137" s="11" t="str">
        <f>CONCATENATE("          ", "6007", " - ", "STUDENT HOURLY")</f>
        <v xml:space="preserve">          6007 - STUDENT HOURLY</v>
      </c>
      <c r="C137" s="11"/>
      <c r="D137" s="6">
        <v>51649.760000000002</v>
      </c>
      <c r="E137" s="2"/>
      <c r="F137" s="7">
        <f t="shared" si="33"/>
        <v>9.3836356192181836E-2</v>
      </c>
      <c r="G137" s="2"/>
      <c r="H137" s="6">
        <v>17216.47</v>
      </c>
      <c r="I137" s="2"/>
      <c r="J137" s="7">
        <f t="shared" si="34"/>
        <v>0.10752966275543609</v>
      </c>
      <c r="K137" s="2"/>
      <c r="L137" s="6">
        <f t="shared" si="35"/>
        <v>34433.29</v>
      </c>
      <c r="M137" s="2"/>
      <c r="N137" s="7">
        <f t="shared" si="36"/>
        <v>2.0000203293706549</v>
      </c>
      <c r="O137" s="11"/>
      <c r="P137" s="6">
        <v>231827.04</v>
      </c>
      <c r="Q137" s="2"/>
      <c r="R137" s="7">
        <f t="shared" si="37"/>
        <v>8.0827536432501873E-2</v>
      </c>
      <c r="S137" s="2"/>
      <c r="T137" s="6">
        <v>119670.17</v>
      </c>
      <c r="U137" s="2"/>
      <c r="V137" s="7">
        <f t="shared" si="38"/>
        <v>5.083672405064199E-2</v>
      </c>
      <c r="W137" s="2"/>
      <c r="X137" s="6">
        <f t="shared" si="39"/>
        <v>112156.87000000001</v>
      </c>
      <c r="Y137" s="2"/>
      <c r="Z137" s="7">
        <f t="shared" si="40"/>
        <v>0.93721660126328898</v>
      </c>
    </row>
    <row r="138" spans="1:26" s="24" customFormat="1" hidden="1" outlineLevel="2" x14ac:dyDescent="0.25">
      <c r="A138" s="29"/>
      <c r="B138" s="11" t="str">
        <f>CONCATENATE("          ", "6008", " - ", "STUDENT HOURLY-FICA EXEMPT")</f>
        <v xml:space="preserve">          6008 - STUDENT HOURLY-FICA EXEMPT</v>
      </c>
      <c r="C138" s="11"/>
      <c r="D138" s="6">
        <v>9913.85</v>
      </c>
      <c r="E138" s="2"/>
      <c r="F138" s="7">
        <f t="shared" si="33"/>
        <v>1.8011304599205531E-2</v>
      </c>
      <c r="G138" s="2"/>
      <c r="H138" s="6">
        <v>1476.02</v>
      </c>
      <c r="I138" s="2"/>
      <c r="J138" s="7">
        <f t="shared" si="34"/>
        <v>9.218842934717671E-3</v>
      </c>
      <c r="K138" s="2"/>
      <c r="L138" s="6">
        <f t="shared" si="35"/>
        <v>8437.83</v>
      </c>
      <c r="M138" s="2"/>
      <c r="N138" s="7">
        <f t="shared" si="36"/>
        <v>5.7166095310361644</v>
      </c>
      <c r="O138" s="11"/>
      <c r="P138" s="6">
        <v>43643.74</v>
      </c>
      <c r="Q138" s="2"/>
      <c r="R138" s="7">
        <f t="shared" si="37"/>
        <v>1.5216585541102707E-2</v>
      </c>
      <c r="S138" s="2"/>
      <c r="T138" s="6">
        <v>2964.72</v>
      </c>
      <c r="U138" s="2"/>
      <c r="V138" s="7">
        <f t="shared" si="38"/>
        <v>1.2594337630457057E-3</v>
      </c>
      <c r="W138" s="2"/>
      <c r="X138" s="6">
        <f t="shared" si="39"/>
        <v>40679.019999999997</v>
      </c>
      <c r="Y138" s="2"/>
      <c r="Z138" s="7">
        <f t="shared" si="40"/>
        <v>13.721032677622169</v>
      </c>
    </row>
    <row r="139" spans="1:26" s="28" customFormat="1" outlineLevel="1" collapsed="1" x14ac:dyDescent="0.25">
      <c r="A139" s="27"/>
      <c r="B139" s="14" t="str">
        <f>CONCATENATE("     ","Advertising/Promo                                 ")</f>
        <v xml:space="preserve">     Advertising/Promo                                 </v>
      </c>
      <c r="C139" s="14"/>
      <c r="D139" s="1">
        <f>SUM(OSRRefD22_2x_0)</f>
        <v>950.63</v>
      </c>
      <c r="E139" s="1"/>
      <c r="F139" s="5">
        <f t="shared" ref="F139:F147" si="41">IF(D$12=0,0,D139/D$12)</f>
        <v>1.7270875079956581E-3</v>
      </c>
      <c r="G139" s="1"/>
      <c r="H139" s="1">
        <f>SUM(OSRRefH22_2x_0)</f>
        <v>1316.16</v>
      </c>
      <c r="I139" s="1"/>
      <c r="J139" s="5">
        <f t="shared" ref="J139:J147" si="42">IF(H$12=0,0,H139/H$12)</f>
        <v>8.2203983123250446E-3</v>
      </c>
      <c r="K139" s="1"/>
      <c r="L139" s="1">
        <f t="shared" ref="L139:L147" si="43">+D139-H139</f>
        <v>-365.53000000000009</v>
      </c>
      <c r="M139" s="1"/>
      <c r="N139" s="5">
        <f t="shared" ref="N139:N147" si="44">IF(H139=0,0,L139/H139)</f>
        <v>-0.27772459275468031</v>
      </c>
      <c r="O139" s="14"/>
      <c r="P139" s="1">
        <f>SUM(OSRRefP22_2x_0)</f>
        <v>3149.98</v>
      </c>
      <c r="Q139" s="1"/>
      <c r="R139" s="5">
        <f t="shared" ref="R139:R147" si="45">IF(P$12=0,0,P139/P$12)</f>
        <v>1.098254643684586E-3</v>
      </c>
      <c r="S139" s="1"/>
      <c r="T139" s="1">
        <f>SUM(OSRRefT22_2x_0)</f>
        <v>13709.75</v>
      </c>
      <c r="U139" s="1"/>
      <c r="V139" s="5">
        <f t="shared" ref="V139:V147" si="46">IF(T$12=0,0,T139/T$12)</f>
        <v>5.8239975555586581E-3</v>
      </c>
      <c r="W139" s="1"/>
      <c r="X139" s="1">
        <f t="shared" ref="X139:X147" si="47">+P139-T139</f>
        <v>-10559.77</v>
      </c>
      <c r="Y139" s="1"/>
      <c r="Z139" s="5">
        <f t="shared" ref="Z139:Z147" si="48">IF(T139=0,0,X139/T139)</f>
        <v>-0.77023796932839772</v>
      </c>
    </row>
    <row r="140" spans="1:26" s="24" customFormat="1" hidden="1" outlineLevel="2" x14ac:dyDescent="0.25">
      <c r="A140" s="29"/>
      <c r="B140" s="11" t="str">
        <f>CONCATENATE("          ", "6362", " - ", "ADVERTISING EXPENSE")</f>
        <v xml:space="preserve">          6362 - ADVERTISING EXPENSE</v>
      </c>
      <c r="C140" s="11"/>
      <c r="D140" s="6">
        <v>950.63</v>
      </c>
      <c r="E140" s="2"/>
      <c r="F140" s="7">
        <f t="shared" si="41"/>
        <v>1.7270875079956581E-3</v>
      </c>
      <c r="G140" s="2"/>
      <c r="H140" s="6">
        <v>1316.16</v>
      </c>
      <c r="I140" s="2"/>
      <c r="J140" s="7">
        <f t="shared" si="42"/>
        <v>8.2203983123250446E-3</v>
      </c>
      <c r="K140" s="2"/>
      <c r="L140" s="6">
        <f t="shared" si="43"/>
        <v>-365.53000000000009</v>
      </c>
      <c r="M140" s="2"/>
      <c r="N140" s="7">
        <f t="shared" si="44"/>
        <v>-0.27772459275468031</v>
      </c>
      <c r="O140" s="11"/>
      <c r="P140" s="6">
        <v>3149.98</v>
      </c>
      <c r="Q140" s="2"/>
      <c r="R140" s="7">
        <f t="shared" si="45"/>
        <v>1.098254643684586E-3</v>
      </c>
      <c r="S140" s="2"/>
      <c r="T140" s="6">
        <v>13709.75</v>
      </c>
      <c r="U140" s="2"/>
      <c r="V140" s="7">
        <f t="shared" si="46"/>
        <v>5.8239975555586581E-3</v>
      </c>
      <c r="W140" s="2"/>
      <c r="X140" s="6">
        <f t="shared" si="47"/>
        <v>-10559.77</v>
      </c>
      <c r="Y140" s="2"/>
      <c r="Z140" s="7">
        <f t="shared" si="48"/>
        <v>-0.77023796932839772</v>
      </c>
    </row>
    <row r="141" spans="1:26" s="28" customFormat="1" outlineLevel="1" collapsed="1" x14ac:dyDescent="0.25">
      <c r="A141" s="27"/>
      <c r="B141" s="14" t="str">
        <f>CONCATENATE("     ","Bad Debts/Over/Short                              ")</f>
        <v xml:space="preserve">     Bad Debts/Over/Short                              </v>
      </c>
      <c r="C141" s="14"/>
      <c r="D141" s="1">
        <f>SUM(OSRRefD22_3x_0)</f>
        <v>-30.42</v>
      </c>
      <c r="E141" s="1"/>
      <c r="F141" s="5">
        <f t="shared" si="41"/>
        <v>-5.5266509570735111E-5</v>
      </c>
      <c r="G141" s="1"/>
      <c r="H141" s="1">
        <f>SUM(OSRRefH22_3x_0)</f>
        <v>-29.45</v>
      </c>
      <c r="I141" s="1"/>
      <c r="J141" s="5">
        <f t="shared" si="42"/>
        <v>-1.8393715832267546E-4</v>
      </c>
      <c r="K141" s="1"/>
      <c r="L141" s="1">
        <f t="shared" si="43"/>
        <v>-0.97000000000000242</v>
      </c>
      <c r="M141" s="1"/>
      <c r="N141" s="5">
        <f t="shared" si="44"/>
        <v>3.2937181663837092E-2</v>
      </c>
      <c r="O141" s="14"/>
      <c r="P141" s="1">
        <f>SUM(OSRRefP22_3x_0)</f>
        <v>218.49</v>
      </c>
      <c r="Q141" s="1"/>
      <c r="R141" s="5">
        <f t="shared" si="45"/>
        <v>7.6177517666348738E-5</v>
      </c>
      <c r="S141" s="1"/>
      <c r="T141" s="1">
        <f>SUM(OSRRefT22_3x_0)</f>
        <v>50.56</v>
      </c>
      <c r="U141" s="1"/>
      <c r="V141" s="5">
        <f t="shared" si="46"/>
        <v>2.1478241135618502E-5</v>
      </c>
      <c r="W141" s="1"/>
      <c r="X141" s="1">
        <f t="shared" si="47"/>
        <v>167.93</v>
      </c>
      <c r="Y141" s="1"/>
      <c r="Z141" s="5">
        <f t="shared" si="48"/>
        <v>3.321400316455696</v>
      </c>
    </row>
    <row r="142" spans="1:26" s="24" customFormat="1" hidden="1" outlineLevel="2" x14ac:dyDescent="0.25">
      <c r="A142" s="29"/>
      <c r="B142" s="11" t="str">
        <f>CONCATENATE("          ", "6272", " - ", "CASH (OVER/SHORT)")</f>
        <v xml:space="preserve">          6272 - CASH (OVER/SHORT)</v>
      </c>
      <c r="C142" s="11"/>
      <c r="D142" s="6">
        <v>-30.42</v>
      </c>
      <c r="E142" s="2"/>
      <c r="F142" s="7">
        <f t="shared" si="41"/>
        <v>-5.5266509570735111E-5</v>
      </c>
      <c r="G142" s="2"/>
      <c r="H142" s="6">
        <v>-29.45</v>
      </c>
      <c r="I142" s="2"/>
      <c r="J142" s="7">
        <f t="shared" si="42"/>
        <v>-1.8393715832267546E-4</v>
      </c>
      <c r="K142" s="2"/>
      <c r="L142" s="6">
        <f t="shared" si="43"/>
        <v>-0.97000000000000242</v>
      </c>
      <c r="M142" s="2"/>
      <c r="N142" s="7">
        <f t="shared" si="44"/>
        <v>3.2937181663837092E-2</v>
      </c>
      <c r="O142" s="11"/>
      <c r="P142" s="6">
        <v>218.49</v>
      </c>
      <c r="Q142" s="2"/>
      <c r="R142" s="7">
        <f t="shared" si="45"/>
        <v>7.6177517666348738E-5</v>
      </c>
      <c r="S142" s="2"/>
      <c r="T142" s="6">
        <v>50.56</v>
      </c>
      <c r="U142" s="2"/>
      <c r="V142" s="7">
        <f t="shared" si="46"/>
        <v>2.1478241135618502E-5</v>
      </c>
      <c r="W142" s="2"/>
      <c r="X142" s="6">
        <f t="shared" si="47"/>
        <v>167.93</v>
      </c>
      <c r="Y142" s="2"/>
      <c r="Z142" s="7">
        <f t="shared" si="48"/>
        <v>3.321400316455696</v>
      </c>
    </row>
    <row r="143" spans="1:26" s="28" customFormat="1" outlineLevel="1" collapsed="1" x14ac:dyDescent="0.25">
      <c r="A143" s="27"/>
      <c r="B143" s="14" t="str">
        <f>CONCATENATE("     ","Bank/card Fees                                    ")</f>
        <v xml:space="preserve">     Bank/card Fees                                    </v>
      </c>
      <c r="C143" s="14"/>
      <c r="D143" s="1">
        <f>SUM(OSRRefD22_4x_0)</f>
        <v>12740.8</v>
      </c>
      <c r="E143" s="1"/>
      <c r="F143" s="5">
        <f t="shared" si="41"/>
        <v>2.3147256579185465E-2</v>
      </c>
      <c r="G143" s="1"/>
      <c r="H143" s="1">
        <f>SUM(OSRRefH22_4x_0)</f>
        <v>4891.9799999999996</v>
      </c>
      <c r="I143" s="1"/>
      <c r="J143" s="5">
        <f t="shared" si="42"/>
        <v>3.0554054321608209E-2</v>
      </c>
      <c r="K143" s="1"/>
      <c r="L143" s="1">
        <f t="shared" si="43"/>
        <v>7848.82</v>
      </c>
      <c r="M143" s="1"/>
      <c r="N143" s="5">
        <f t="shared" si="44"/>
        <v>1.6044260197302525</v>
      </c>
      <c r="O143" s="14"/>
      <c r="P143" s="1">
        <f>SUM(OSRRefP22_4x_0)</f>
        <v>50329.49</v>
      </c>
      <c r="Q143" s="1"/>
      <c r="R143" s="5">
        <f t="shared" si="45"/>
        <v>1.7547602240895792E-2</v>
      </c>
      <c r="S143" s="1"/>
      <c r="T143" s="1">
        <f>SUM(OSRRefT22_4x_0)</f>
        <v>39139.75</v>
      </c>
      <c r="U143" s="1"/>
      <c r="V143" s="5">
        <f t="shared" si="46"/>
        <v>1.6626839171040828E-2</v>
      </c>
      <c r="W143" s="1"/>
      <c r="X143" s="1">
        <f t="shared" si="47"/>
        <v>11189.739999999998</v>
      </c>
      <c r="Y143" s="1"/>
      <c r="Z143" s="5">
        <f t="shared" si="48"/>
        <v>0.28589196405189093</v>
      </c>
    </row>
    <row r="144" spans="1:26" s="24" customFormat="1" hidden="1" outlineLevel="2" x14ac:dyDescent="0.25">
      <c r="A144" s="29"/>
      <c r="B144" s="11" t="str">
        <f>CONCATENATE("          ", "6381", " - ", "BANK/CREDIT CARD FEES")</f>
        <v xml:space="preserve">          6381 - BANK/CREDIT CARD FEES</v>
      </c>
      <c r="C144" s="11"/>
      <c r="D144" s="6">
        <v>12740.8</v>
      </c>
      <c r="E144" s="2"/>
      <c r="F144" s="7">
        <f t="shared" si="41"/>
        <v>2.3147256579185465E-2</v>
      </c>
      <c r="G144" s="2"/>
      <c r="H144" s="6">
        <v>4891.9799999999996</v>
      </c>
      <c r="I144" s="2"/>
      <c r="J144" s="7">
        <f t="shared" si="42"/>
        <v>3.0554054321608209E-2</v>
      </c>
      <c r="K144" s="2"/>
      <c r="L144" s="6">
        <f t="shared" si="43"/>
        <v>7848.82</v>
      </c>
      <c r="M144" s="2"/>
      <c r="N144" s="7">
        <f t="shared" si="44"/>
        <v>1.6044260197302525</v>
      </c>
      <c r="O144" s="11"/>
      <c r="P144" s="6">
        <v>50329.49</v>
      </c>
      <c r="Q144" s="2"/>
      <c r="R144" s="7">
        <f t="shared" si="45"/>
        <v>1.7547602240895792E-2</v>
      </c>
      <c r="S144" s="2"/>
      <c r="T144" s="6">
        <v>39139.75</v>
      </c>
      <c r="U144" s="2"/>
      <c r="V144" s="7">
        <f t="shared" si="46"/>
        <v>1.6626839171040828E-2</v>
      </c>
      <c r="W144" s="2"/>
      <c r="X144" s="6">
        <f t="shared" si="47"/>
        <v>11189.739999999998</v>
      </c>
      <c r="Y144" s="2"/>
      <c r="Z144" s="7">
        <f t="shared" si="48"/>
        <v>0.28589196405189093</v>
      </c>
    </row>
    <row r="145" spans="1:26" s="28" customFormat="1" outlineLevel="1" collapsed="1" x14ac:dyDescent="0.25">
      <c r="A145" s="27"/>
      <c r="B145" s="14" t="str">
        <f>CONCATENATE("     ","Depreciation                                      ")</f>
        <v xml:space="preserve">     Depreciation                                      </v>
      </c>
      <c r="C145" s="14"/>
      <c r="D145" s="1">
        <f>SUM(OSRRefD22_5x_0)</f>
        <v>30614.86</v>
      </c>
      <c r="E145" s="1"/>
      <c r="F145" s="5">
        <f t="shared" si="41"/>
        <v>5.5620527718498208E-2</v>
      </c>
      <c r="G145" s="1"/>
      <c r="H145" s="1">
        <f>SUM(OSRRefH22_5x_0)</f>
        <v>30735.86</v>
      </c>
      <c r="I145" s="1"/>
      <c r="J145" s="5">
        <f t="shared" si="42"/>
        <v>0.19196831059434932</v>
      </c>
      <c r="K145" s="1"/>
      <c r="L145" s="1">
        <f t="shared" si="43"/>
        <v>-121</v>
      </c>
      <c r="M145" s="1"/>
      <c r="N145" s="5">
        <f t="shared" si="44"/>
        <v>-3.9367696234951614E-3</v>
      </c>
      <c r="O145" s="14"/>
      <c r="P145" s="1">
        <f>SUM(OSRRefP22_5x_0)</f>
        <v>122776.9</v>
      </c>
      <c r="Q145" s="1"/>
      <c r="R145" s="5">
        <f t="shared" si="45"/>
        <v>4.2806716411595641E-2</v>
      </c>
      <c r="S145" s="1"/>
      <c r="T145" s="1">
        <f>SUM(OSRRefT22_5x_0)</f>
        <v>123238.89</v>
      </c>
      <c r="U145" s="1"/>
      <c r="V145" s="5">
        <f t="shared" si="46"/>
        <v>5.2352741232317319E-2</v>
      </c>
      <c r="W145" s="1"/>
      <c r="X145" s="1">
        <f t="shared" si="47"/>
        <v>-461.99000000000524</v>
      </c>
      <c r="Y145" s="1"/>
      <c r="Z145" s="5">
        <f t="shared" si="48"/>
        <v>-3.7487354843913738E-3</v>
      </c>
    </row>
    <row r="146" spans="1:26" s="24" customFormat="1" hidden="1" outlineLevel="2" x14ac:dyDescent="0.25">
      <c r="A146" s="29"/>
      <c r="B146" s="11" t="str">
        <f>CONCATENATE("          ", "6321", " - ", "BUILDING DEPRECIATION")</f>
        <v xml:space="preserve">          6321 - BUILDING DEPRECIATION</v>
      </c>
      <c r="C146" s="11"/>
      <c r="D146" s="6">
        <v>16396.52</v>
      </c>
      <c r="E146" s="2"/>
      <c r="F146" s="7">
        <f t="shared" si="41"/>
        <v>2.978890300811143E-2</v>
      </c>
      <c r="G146" s="2"/>
      <c r="H146" s="6">
        <v>16396.52</v>
      </c>
      <c r="I146" s="2"/>
      <c r="J146" s="7">
        <f t="shared" si="42"/>
        <v>0.10240846503161001</v>
      </c>
      <c r="K146" s="2"/>
      <c r="L146" s="6">
        <f t="shared" si="43"/>
        <v>0</v>
      </c>
      <c r="M146" s="2"/>
      <c r="N146" s="7">
        <f t="shared" si="44"/>
        <v>0</v>
      </c>
      <c r="O146" s="11"/>
      <c r="P146" s="6">
        <v>65586.080000000002</v>
      </c>
      <c r="Q146" s="2"/>
      <c r="R146" s="7">
        <f t="shared" si="45"/>
        <v>2.2866880717042251E-2</v>
      </c>
      <c r="S146" s="2"/>
      <c r="T146" s="6">
        <v>65586.080000000002</v>
      </c>
      <c r="U146" s="2"/>
      <c r="V146" s="7">
        <f t="shared" si="46"/>
        <v>2.7861424869065784E-2</v>
      </c>
      <c r="W146" s="2"/>
      <c r="X146" s="6">
        <f t="shared" si="47"/>
        <v>0</v>
      </c>
      <c r="Y146" s="2"/>
      <c r="Z146" s="7">
        <f t="shared" si="48"/>
        <v>0</v>
      </c>
    </row>
    <row r="147" spans="1:26" s="24" customFormat="1" hidden="1" outlineLevel="2" x14ac:dyDescent="0.25">
      <c r="A147" s="29"/>
      <c r="B147" s="11" t="str">
        <f>CONCATENATE("          ", "6322", " - ", "EQUIPMENT DEPRECIATION EXPENSE")</f>
        <v xml:space="preserve">          6322 - EQUIPMENT DEPRECIATION EXPENSE</v>
      </c>
      <c r="C147" s="11"/>
      <c r="D147" s="6">
        <v>14218.34</v>
      </c>
      <c r="E147" s="2"/>
      <c r="F147" s="7">
        <f t="shared" si="41"/>
        <v>2.5831624710386782E-2</v>
      </c>
      <c r="G147" s="2"/>
      <c r="H147" s="6">
        <v>14339.34</v>
      </c>
      <c r="I147" s="2"/>
      <c r="J147" s="7">
        <f t="shared" si="42"/>
        <v>8.9559845562739326E-2</v>
      </c>
      <c r="K147" s="2"/>
      <c r="L147" s="6">
        <f t="shared" si="43"/>
        <v>-121</v>
      </c>
      <c r="M147" s="2"/>
      <c r="N147" s="7">
        <f t="shared" si="44"/>
        <v>-8.4383242185484125E-3</v>
      </c>
      <c r="O147" s="11"/>
      <c r="P147" s="6">
        <v>57190.82</v>
      </c>
      <c r="Q147" s="2"/>
      <c r="R147" s="7">
        <f t="shared" si="45"/>
        <v>1.993983569455339E-2</v>
      </c>
      <c r="S147" s="2"/>
      <c r="T147" s="6">
        <v>57652.81</v>
      </c>
      <c r="U147" s="2"/>
      <c r="V147" s="7">
        <f t="shared" si="46"/>
        <v>2.4491316363251536E-2</v>
      </c>
      <c r="W147" s="2"/>
      <c r="X147" s="6">
        <f t="shared" si="47"/>
        <v>-461.98999999999796</v>
      </c>
      <c r="Y147" s="2"/>
      <c r="Z147" s="7">
        <f t="shared" si="48"/>
        <v>-8.0133127942939465E-3</v>
      </c>
    </row>
    <row r="148" spans="1:26" s="28" customFormat="1" outlineLevel="1" collapsed="1" x14ac:dyDescent="0.25">
      <c r="A148" s="27"/>
      <c r="B148" s="14" t="str">
        <f>CONCATENATE("     ","Discounts and Markdowns                           ")</f>
        <v xml:space="preserve">     Discounts and Markdowns                           </v>
      </c>
      <c r="C148" s="14"/>
      <c r="D148" s="1">
        <f>SUM(OSRRefD22_6x_0)</f>
        <v>-43.75</v>
      </c>
      <c r="E148" s="1"/>
      <c r="F148" s="5">
        <f t="shared" ref="F148:F150" si="49">IF(D$12=0,0,D148/D$12)</f>
        <v>-7.9484214126221596E-5</v>
      </c>
      <c r="G148" s="1"/>
      <c r="H148" s="1">
        <f>SUM(OSRRefH22_6x_0)</f>
        <v>-1249.8000000000002</v>
      </c>
      <c r="I148" s="1"/>
      <c r="J148" s="5">
        <f t="shared" ref="J148:J150" si="50">IF(H$12=0,0,H148/H$12)</f>
        <v>-7.8059307460672262E-3</v>
      </c>
      <c r="K148" s="1"/>
      <c r="L148" s="1">
        <f t="shared" ref="L148:L150" si="51">+D148-H148</f>
        <v>1206.0500000000002</v>
      </c>
      <c r="M148" s="1"/>
      <c r="N148" s="5">
        <f t="shared" ref="N148:N150" si="52">IF(H148=0,0,L148/H148)</f>
        <v>-0.96499439910385665</v>
      </c>
      <c r="O148" s="14"/>
      <c r="P148" s="1">
        <f>SUM(OSRRefP22_6x_0)</f>
        <v>-66.239999999999995</v>
      </c>
      <c r="Q148" s="1"/>
      <c r="R148" s="5">
        <f t="shared" ref="R148:R150" si="53">IF(P$12=0,0,P148/P$12)</f>
        <v>-2.3094872855594944E-5</v>
      </c>
      <c r="S148" s="1"/>
      <c r="T148" s="1">
        <f>SUM(OSRRefT22_6x_0)</f>
        <v>-418.85</v>
      </c>
      <c r="U148" s="1"/>
      <c r="V148" s="5">
        <f t="shared" ref="V148:V150" si="54">IF(T$12=0,0,T148/T$12)</f>
        <v>-1.7793040545201365E-4</v>
      </c>
      <c r="W148" s="1"/>
      <c r="X148" s="1">
        <f t="shared" ref="X148:X150" si="55">+P148-T148</f>
        <v>352.61</v>
      </c>
      <c r="Y148" s="1"/>
      <c r="Z148" s="5">
        <f t="shared" ref="Z148:Z150" si="56">IF(T148=0,0,X148/T148)</f>
        <v>-0.84185269189447298</v>
      </c>
    </row>
    <row r="149" spans="1:26" s="24" customFormat="1" hidden="1" outlineLevel="2" x14ac:dyDescent="0.25">
      <c r="A149" s="29"/>
      <c r="B149" s="11" t="str">
        <f>CONCATENATE("          ", "6382", " - ", "DISCOUNTS/MARK DOWNS")</f>
        <v xml:space="preserve">          6382 - DISCOUNTS/MARK DOWNS</v>
      </c>
      <c r="C149" s="11"/>
      <c r="D149" s="6"/>
      <c r="E149" s="2"/>
      <c r="F149" s="7">
        <f t="shared" si="49"/>
        <v>0</v>
      </c>
      <c r="G149" s="2"/>
      <c r="H149" s="6">
        <v>-830.95</v>
      </c>
      <c r="I149" s="2"/>
      <c r="J149" s="7">
        <f t="shared" si="50"/>
        <v>-5.1899009069007532E-3</v>
      </c>
      <c r="K149" s="2"/>
      <c r="L149" s="6">
        <f t="shared" si="51"/>
        <v>830.95</v>
      </c>
      <c r="M149" s="2"/>
      <c r="N149" s="7">
        <f t="shared" si="52"/>
        <v>-1</v>
      </c>
      <c r="O149" s="11"/>
      <c r="P149" s="6"/>
      <c r="Q149" s="2"/>
      <c r="R149" s="7">
        <f t="shared" si="53"/>
        <v>0</v>
      </c>
      <c r="S149" s="2"/>
      <c r="T149" s="6">
        <v>0</v>
      </c>
      <c r="U149" s="2"/>
      <c r="V149" s="7">
        <f t="shared" si="54"/>
        <v>0</v>
      </c>
      <c r="W149" s="2"/>
      <c r="X149" s="6">
        <f t="shared" si="55"/>
        <v>0</v>
      </c>
      <c r="Y149" s="2"/>
      <c r="Z149" s="7">
        <f t="shared" si="56"/>
        <v>0</v>
      </c>
    </row>
    <row r="150" spans="1:26" s="24" customFormat="1" hidden="1" outlineLevel="2" x14ac:dyDescent="0.25">
      <c r="A150" s="29"/>
      <c r="B150" s="11" t="str">
        <f>CONCATENATE("          ", "9175", " - ", "EARNED DISCOUNTS")</f>
        <v xml:space="preserve">          9175 - EARNED DISCOUNTS</v>
      </c>
      <c r="C150" s="11"/>
      <c r="D150" s="6">
        <v>-43.75</v>
      </c>
      <c r="E150" s="2"/>
      <c r="F150" s="7">
        <f t="shared" si="49"/>
        <v>-7.9484214126221596E-5</v>
      </c>
      <c r="G150" s="2"/>
      <c r="H150" s="6">
        <v>-418.85</v>
      </c>
      <c r="I150" s="2"/>
      <c r="J150" s="7">
        <f t="shared" si="50"/>
        <v>-2.6160298391664726E-3</v>
      </c>
      <c r="K150" s="2"/>
      <c r="L150" s="6">
        <f t="shared" si="51"/>
        <v>375.1</v>
      </c>
      <c r="M150" s="2"/>
      <c r="N150" s="7">
        <f t="shared" si="52"/>
        <v>-0.89554733198042258</v>
      </c>
      <c r="O150" s="11"/>
      <c r="P150" s="6">
        <v>-66.239999999999995</v>
      </c>
      <c r="Q150" s="2"/>
      <c r="R150" s="7">
        <f t="shared" si="53"/>
        <v>-2.3094872855594944E-5</v>
      </c>
      <c r="S150" s="2"/>
      <c r="T150" s="6">
        <v>-418.85</v>
      </c>
      <c r="U150" s="2"/>
      <c r="V150" s="7">
        <f t="shared" si="54"/>
        <v>-1.7793040545201365E-4</v>
      </c>
      <c r="W150" s="2"/>
      <c r="X150" s="6">
        <f t="shared" si="55"/>
        <v>352.61</v>
      </c>
      <c r="Y150" s="2"/>
      <c r="Z150" s="7">
        <f t="shared" si="56"/>
        <v>-0.84185269189447298</v>
      </c>
    </row>
    <row r="151" spans="1:26" s="28" customFormat="1" outlineLevel="1" collapsed="1" x14ac:dyDescent="0.25">
      <c r="A151" s="27"/>
      <c r="B151" s="14" t="str">
        <f>CONCATENATE("     ","Donations                                         ")</f>
        <v xml:space="preserve">     Donations                                         </v>
      </c>
      <c r="C151" s="14"/>
      <c r="D151" s="1">
        <f>SUM(OSRRefD22_7x_0)</f>
        <v>1483.48</v>
      </c>
      <c r="E151" s="1"/>
      <c r="F151" s="5">
        <f t="shared" ref="F151:F159" si="57">IF(D$12=0,0,D151/D$12)</f>
        <v>2.695159816502108E-3</v>
      </c>
      <c r="G151" s="1"/>
      <c r="H151" s="1">
        <f>SUM(OSRRefH22_7x_0)</f>
        <v>0</v>
      </c>
      <c r="I151" s="1"/>
      <c r="J151" s="5">
        <f t="shared" ref="J151:J159" si="58">IF(H$12=0,0,H151/H$12)</f>
        <v>0</v>
      </c>
      <c r="K151" s="1"/>
      <c r="L151" s="1">
        <f t="shared" ref="L151:L159" si="59">+D151-H151</f>
        <v>1483.48</v>
      </c>
      <c r="M151" s="1"/>
      <c r="N151" s="5">
        <f t="shared" ref="N151:N159" si="60">IF(H151=0,0,L151/H151)</f>
        <v>0</v>
      </c>
      <c r="O151" s="14"/>
      <c r="P151" s="1">
        <f>SUM(OSRRefP22_7x_0)</f>
        <v>1483.48</v>
      </c>
      <c r="Q151" s="1"/>
      <c r="R151" s="5">
        <f t="shared" ref="R151:R159" si="61">IF(P$12=0,0,P151/P$12)</f>
        <v>5.1722195023879824E-4</v>
      </c>
      <c r="S151" s="1"/>
      <c r="T151" s="1">
        <f>SUM(OSRRefT22_7x_0)</f>
        <v>0</v>
      </c>
      <c r="U151" s="1"/>
      <c r="V151" s="5">
        <f t="shared" ref="V151:V159" si="62">IF(T$12=0,0,T151/T$12)</f>
        <v>0</v>
      </c>
      <c r="W151" s="1"/>
      <c r="X151" s="1">
        <f t="shared" ref="X151:X159" si="63">+P151-T151</f>
        <v>1483.48</v>
      </c>
      <c r="Y151" s="1"/>
      <c r="Z151" s="5">
        <f t="shared" ref="Z151:Z159" si="64">IF(T151=0,0,X151/T151)</f>
        <v>0</v>
      </c>
    </row>
    <row r="152" spans="1:26" s="24" customFormat="1" hidden="1" outlineLevel="2" x14ac:dyDescent="0.25">
      <c r="A152" s="29"/>
      <c r="B152" s="11" t="str">
        <f>CONCATENATE("          ", "6399", " - ", "DONATION-ON CAMPUS")</f>
        <v xml:space="preserve">          6399 - DONATION-ON CAMPUS</v>
      </c>
      <c r="C152" s="11"/>
      <c r="D152" s="6">
        <v>1483.48</v>
      </c>
      <c r="E152" s="2"/>
      <c r="F152" s="7">
        <f t="shared" si="57"/>
        <v>2.695159816502108E-3</v>
      </c>
      <c r="G152" s="2"/>
      <c r="H152" s="6"/>
      <c r="I152" s="2"/>
      <c r="J152" s="7">
        <f t="shared" si="58"/>
        <v>0</v>
      </c>
      <c r="K152" s="2"/>
      <c r="L152" s="6">
        <f t="shared" si="59"/>
        <v>1483.48</v>
      </c>
      <c r="M152" s="2"/>
      <c r="N152" s="7">
        <f t="shared" si="60"/>
        <v>0</v>
      </c>
      <c r="O152" s="11"/>
      <c r="P152" s="6">
        <v>1483.48</v>
      </c>
      <c r="Q152" s="2"/>
      <c r="R152" s="7">
        <f t="shared" si="61"/>
        <v>5.1722195023879824E-4</v>
      </c>
      <c r="S152" s="2"/>
      <c r="T152" s="6"/>
      <c r="U152" s="2"/>
      <c r="V152" s="7">
        <f t="shared" si="62"/>
        <v>0</v>
      </c>
      <c r="W152" s="2"/>
      <c r="X152" s="6">
        <f t="shared" si="63"/>
        <v>1483.48</v>
      </c>
      <c r="Y152" s="2"/>
      <c r="Z152" s="7">
        <f t="shared" si="64"/>
        <v>0</v>
      </c>
    </row>
    <row r="153" spans="1:26" s="28" customFormat="1" outlineLevel="1" collapsed="1" x14ac:dyDescent="0.25">
      <c r="A153" s="27"/>
      <c r="B153" s="14" t="str">
        <f>CONCATENATE("     ","Employees' Appreciation                           ")</f>
        <v xml:space="preserve">     Employees' Appreciation                           </v>
      </c>
      <c r="C153" s="14"/>
      <c r="D153" s="1">
        <f>SUM(OSRRefD22_8x_0)</f>
        <v>0</v>
      </c>
      <c r="E153" s="1"/>
      <c r="F153" s="5">
        <f t="shared" si="57"/>
        <v>0</v>
      </c>
      <c r="G153" s="1"/>
      <c r="H153" s="1">
        <f>SUM(OSRRefH22_8x_0)</f>
        <v>0</v>
      </c>
      <c r="I153" s="1"/>
      <c r="J153" s="5">
        <f t="shared" si="58"/>
        <v>0</v>
      </c>
      <c r="K153" s="1"/>
      <c r="L153" s="1">
        <f t="shared" si="59"/>
        <v>0</v>
      </c>
      <c r="M153" s="1"/>
      <c r="N153" s="5">
        <f t="shared" si="60"/>
        <v>0</v>
      </c>
      <c r="O153" s="14"/>
      <c r="P153" s="1">
        <f>SUM(OSRRefP22_8x_0)</f>
        <v>1384.63</v>
      </c>
      <c r="Q153" s="1"/>
      <c r="R153" s="5">
        <f t="shared" si="61"/>
        <v>4.8275745474097876E-4</v>
      </c>
      <c r="S153" s="1"/>
      <c r="T153" s="1">
        <f>SUM(OSRRefT22_8x_0)</f>
        <v>107.7</v>
      </c>
      <c r="U153" s="1"/>
      <c r="V153" s="5">
        <f t="shared" si="62"/>
        <v>4.5751712229155708E-5</v>
      </c>
      <c r="W153" s="1"/>
      <c r="X153" s="1">
        <f t="shared" si="63"/>
        <v>1276.93</v>
      </c>
      <c r="Y153" s="1"/>
      <c r="Z153" s="5">
        <f t="shared" si="64"/>
        <v>11.856360259981431</v>
      </c>
    </row>
    <row r="154" spans="1:26" s="24" customFormat="1" hidden="1" outlineLevel="2" x14ac:dyDescent="0.25">
      <c r="A154" s="29"/>
      <c r="B154" s="11" t="str">
        <f>CONCATENATE("          ", "6277", " - ", "EMPLOYEE APPRECIATION")</f>
        <v xml:space="preserve">          6277 - EMPLOYEE APPRECIATION</v>
      </c>
      <c r="C154" s="11"/>
      <c r="D154" s="6"/>
      <c r="E154" s="2"/>
      <c r="F154" s="7">
        <f t="shared" si="57"/>
        <v>0</v>
      </c>
      <c r="G154" s="2"/>
      <c r="H154" s="6"/>
      <c r="I154" s="2"/>
      <c r="J154" s="7">
        <f t="shared" si="58"/>
        <v>0</v>
      </c>
      <c r="K154" s="2"/>
      <c r="L154" s="6">
        <f t="shared" si="59"/>
        <v>0</v>
      </c>
      <c r="M154" s="2"/>
      <c r="N154" s="7">
        <f t="shared" si="60"/>
        <v>0</v>
      </c>
      <c r="O154" s="11"/>
      <c r="P154" s="6">
        <v>1384.63</v>
      </c>
      <c r="Q154" s="2"/>
      <c r="R154" s="7">
        <f t="shared" si="61"/>
        <v>4.8275745474097876E-4</v>
      </c>
      <c r="S154" s="2"/>
      <c r="T154" s="6">
        <v>107.7</v>
      </c>
      <c r="U154" s="2"/>
      <c r="V154" s="7">
        <f t="shared" si="62"/>
        <v>4.5751712229155708E-5</v>
      </c>
      <c r="W154" s="2"/>
      <c r="X154" s="6">
        <f t="shared" si="63"/>
        <v>1276.93</v>
      </c>
      <c r="Y154" s="2"/>
      <c r="Z154" s="7">
        <f t="shared" si="64"/>
        <v>11.856360259981431</v>
      </c>
    </row>
    <row r="155" spans="1:26" s="28" customFormat="1" outlineLevel="1" collapsed="1" x14ac:dyDescent="0.25">
      <c r="A155" s="27"/>
      <c r="B155" s="14" t="str">
        <f>CONCATENATE("     ","Equipment Rental                                  ")</f>
        <v xml:space="preserve">     Equipment Rental                                  </v>
      </c>
      <c r="C155" s="14"/>
      <c r="D155" s="1">
        <f>SUM(OSRRefD22_9x_0)</f>
        <v>1531.35</v>
      </c>
      <c r="E155" s="1"/>
      <c r="F155" s="5">
        <f t="shared" si="57"/>
        <v>2.782129172621473E-3</v>
      </c>
      <c r="G155" s="1"/>
      <c r="H155" s="1">
        <f>SUM(OSRRefH22_9x_0)</f>
        <v>1479.42</v>
      </c>
      <c r="I155" s="1"/>
      <c r="J155" s="5">
        <f t="shared" si="58"/>
        <v>9.2400784640316661E-3</v>
      </c>
      <c r="K155" s="1"/>
      <c r="L155" s="1">
        <f t="shared" si="59"/>
        <v>51.929999999999836</v>
      </c>
      <c r="M155" s="1"/>
      <c r="N155" s="5">
        <f t="shared" si="60"/>
        <v>3.5101593867867022E-2</v>
      </c>
      <c r="O155" s="14"/>
      <c r="P155" s="1">
        <f>SUM(OSRRefP22_9x_0)</f>
        <v>6611.4</v>
      </c>
      <c r="Q155" s="1"/>
      <c r="R155" s="5">
        <f t="shared" si="61"/>
        <v>2.3050942390923975E-3</v>
      </c>
      <c r="S155" s="1"/>
      <c r="T155" s="1">
        <f>SUM(OSRRefT22_9x_0)</f>
        <v>5967.79</v>
      </c>
      <c r="U155" s="1"/>
      <c r="V155" s="5">
        <f t="shared" si="62"/>
        <v>2.5351588739464543E-3</v>
      </c>
      <c r="W155" s="1"/>
      <c r="X155" s="1">
        <f t="shared" si="63"/>
        <v>643.60999999999967</v>
      </c>
      <c r="Y155" s="1"/>
      <c r="Z155" s="5">
        <f t="shared" si="64"/>
        <v>0.10784729355423024</v>
      </c>
    </row>
    <row r="156" spans="1:26" s="24" customFormat="1" hidden="1" outlineLevel="2" x14ac:dyDescent="0.25">
      <c r="A156" s="29"/>
      <c r="B156" s="11" t="str">
        <f>CONCATENATE("          ", "6351", " - ", "EQUIPMENT RENTAL")</f>
        <v xml:space="preserve">          6351 - EQUIPMENT RENTAL</v>
      </c>
      <c r="C156" s="11"/>
      <c r="D156" s="6">
        <v>1531.35</v>
      </c>
      <c r="E156" s="2"/>
      <c r="F156" s="7">
        <f t="shared" si="57"/>
        <v>2.782129172621473E-3</v>
      </c>
      <c r="G156" s="2"/>
      <c r="H156" s="6">
        <v>1479.42</v>
      </c>
      <c r="I156" s="2"/>
      <c r="J156" s="7">
        <f t="shared" si="58"/>
        <v>9.2400784640316661E-3</v>
      </c>
      <c r="K156" s="2"/>
      <c r="L156" s="6">
        <f t="shared" si="59"/>
        <v>51.929999999999836</v>
      </c>
      <c r="M156" s="2"/>
      <c r="N156" s="7">
        <f t="shared" si="60"/>
        <v>3.5101593867867022E-2</v>
      </c>
      <c r="O156" s="11"/>
      <c r="P156" s="6">
        <v>6611.4</v>
      </c>
      <c r="Q156" s="2"/>
      <c r="R156" s="7">
        <f t="shared" si="61"/>
        <v>2.3050942390923975E-3</v>
      </c>
      <c r="S156" s="2"/>
      <c r="T156" s="6">
        <v>5967.79</v>
      </c>
      <c r="U156" s="2"/>
      <c r="V156" s="7">
        <f t="shared" si="62"/>
        <v>2.5351588739464543E-3</v>
      </c>
      <c r="W156" s="2"/>
      <c r="X156" s="6">
        <f t="shared" si="63"/>
        <v>643.60999999999967</v>
      </c>
      <c r="Y156" s="2"/>
      <c r="Z156" s="7">
        <f t="shared" si="64"/>
        <v>0.10784729355423024</v>
      </c>
    </row>
    <row r="157" spans="1:26" s="28" customFormat="1" outlineLevel="1" collapsed="1" x14ac:dyDescent="0.25">
      <c r="A157" s="27"/>
      <c r="B157" s="14" t="str">
        <f>CONCATENATE("     ","Freight out/Postage                               ")</f>
        <v xml:space="preserve">     Freight out/Postage                               </v>
      </c>
      <c r="C157" s="14"/>
      <c r="D157" s="1">
        <f>SUM(OSRRefD22_10x_0)</f>
        <v>-23519.489999999998</v>
      </c>
      <c r="E157" s="1"/>
      <c r="F157" s="5">
        <f t="shared" si="57"/>
        <v>-4.2729786955417771E-2</v>
      </c>
      <c r="G157" s="1"/>
      <c r="H157" s="1">
        <f>SUM(OSRRefH22_10x_0)</f>
        <v>48908.160000000003</v>
      </c>
      <c r="I157" s="1"/>
      <c r="J157" s="5">
        <f t="shared" si="58"/>
        <v>0.30546784275690131</v>
      </c>
      <c r="K157" s="1"/>
      <c r="L157" s="1">
        <f t="shared" si="59"/>
        <v>-72427.649999999994</v>
      </c>
      <c r="M157" s="1"/>
      <c r="N157" s="5">
        <f t="shared" si="60"/>
        <v>-1.4808909188160011</v>
      </c>
      <c r="O157" s="14"/>
      <c r="P157" s="1">
        <f>SUM(OSRRefP22_10x_0)</f>
        <v>-35649.289999999994</v>
      </c>
      <c r="Q157" s="1"/>
      <c r="R157" s="5">
        <f t="shared" si="61"/>
        <v>-1.2429284721350124E-2</v>
      </c>
      <c r="S157" s="1"/>
      <c r="T157" s="1">
        <f>SUM(OSRRefT22_10x_0)</f>
        <v>-31843.349999999991</v>
      </c>
      <c r="U157" s="1"/>
      <c r="V157" s="5">
        <f t="shared" si="62"/>
        <v>-1.3527277489436258E-2</v>
      </c>
      <c r="W157" s="1"/>
      <c r="X157" s="1">
        <f t="shared" si="63"/>
        <v>-3805.9400000000023</v>
      </c>
      <c r="Y157" s="1"/>
      <c r="Z157" s="5">
        <f t="shared" si="64"/>
        <v>0.11952071625629852</v>
      </c>
    </row>
    <row r="158" spans="1:26" s="24" customFormat="1" hidden="1" outlineLevel="2" x14ac:dyDescent="0.25">
      <c r="A158" s="29"/>
      <c r="B158" s="11" t="str">
        <f>CONCATENATE("          ", "6305", " - ", "FREIGHT OUT")</f>
        <v xml:space="preserve">          6305 - FREIGHT OUT</v>
      </c>
      <c r="C158" s="11"/>
      <c r="D158" s="6">
        <v>26185.08</v>
      </c>
      <c r="E158" s="2"/>
      <c r="F158" s="7">
        <f t="shared" si="57"/>
        <v>4.7572582985879838E-2</v>
      </c>
      <c r="G158" s="2"/>
      <c r="H158" s="6">
        <v>60594.68</v>
      </c>
      <c r="I158" s="2"/>
      <c r="J158" s="7">
        <f t="shared" si="58"/>
        <v>0.37845885394471496</v>
      </c>
      <c r="K158" s="2"/>
      <c r="L158" s="6">
        <f t="shared" si="59"/>
        <v>-34409.599999999999</v>
      </c>
      <c r="M158" s="2"/>
      <c r="N158" s="7">
        <f t="shared" si="60"/>
        <v>-0.56786503369602737</v>
      </c>
      <c r="O158" s="11"/>
      <c r="P158" s="6">
        <v>54764.89</v>
      </c>
      <c r="Q158" s="2"/>
      <c r="R158" s="7">
        <f t="shared" si="61"/>
        <v>1.9094024328210193E-2</v>
      </c>
      <c r="S158" s="2"/>
      <c r="T158" s="6">
        <v>86252.74</v>
      </c>
      <c r="U158" s="2"/>
      <c r="V158" s="7">
        <f t="shared" si="62"/>
        <v>3.6640766383065813E-2</v>
      </c>
      <c r="W158" s="2"/>
      <c r="X158" s="6">
        <f t="shared" si="63"/>
        <v>-31487.850000000006</v>
      </c>
      <c r="Y158" s="2"/>
      <c r="Z158" s="7">
        <f t="shared" si="64"/>
        <v>-0.3650649243142885</v>
      </c>
    </row>
    <row r="159" spans="1:26" s="24" customFormat="1" hidden="1" outlineLevel="2" x14ac:dyDescent="0.25">
      <c r="A159" s="29"/>
      <c r="B159" s="11" t="str">
        <f>CONCATENATE("          ", "6307", " - ", "POSTAGE")</f>
        <v xml:space="preserve">          6307 - POSTAGE</v>
      </c>
      <c r="C159" s="11"/>
      <c r="D159" s="6">
        <v>-49704.57</v>
      </c>
      <c r="E159" s="2"/>
      <c r="F159" s="7">
        <f t="shared" si="57"/>
        <v>-9.0302369941297603E-2</v>
      </c>
      <c r="G159" s="2"/>
      <c r="H159" s="6">
        <v>-11686.52</v>
      </c>
      <c r="I159" s="2"/>
      <c r="J159" s="7">
        <f t="shared" si="58"/>
        <v>-7.299101118781369E-2</v>
      </c>
      <c r="K159" s="2"/>
      <c r="L159" s="6">
        <f t="shared" si="59"/>
        <v>-38018.050000000003</v>
      </c>
      <c r="M159" s="2"/>
      <c r="N159" s="7">
        <f t="shared" si="60"/>
        <v>3.2531540612603238</v>
      </c>
      <c r="O159" s="11"/>
      <c r="P159" s="6">
        <v>-90414.18</v>
      </c>
      <c r="Q159" s="2"/>
      <c r="R159" s="7">
        <f t="shared" si="61"/>
        <v>-3.1523309049560314E-2</v>
      </c>
      <c r="S159" s="2"/>
      <c r="T159" s="6">
        <v>-118096.09</v>
      </c>
      <c r="U159" s="2"/>
      <c r="V159" s="7">
        <f t="shared" si="62"/>
        <v>-5.0168043872502073E-2</v>
      </c>
      <c r="W159" s="2"/>
      <c r="X159" s="6">
        <f t="shared" si="63"/>
        <v>27681.910000000003</v>
      </c>
      <c r="Y159" s="2"/>
      <c r="Z159" s="7">
        <f t="shared" si="64"/>
        <v>-0.23440157925634966</v>
      </c>
    </row>
    <row r="160" spans="1:26" s="28" customFormat="1" outlineLevel="1" collapsed="1" x14ac:dyDescent="0.25">
      <c r="A160" s="27"/>
      <c r="B160" s="14" t="str">
        <f>CONCATENATE("     ","General                                           ")</f>
        <v xml:space="preserve">     General                                           </v>
      </c>
      <c r="C160" s="14"/>
      <c r="D160" s="1">
        <f>SUM(OSRRefD22_11x_0)</f>
        <v>327.5</v>
      </c>
      <c r="E160" s="1"/>
      <c r="F160" s="5">
        <f t="shared" ref="F160:F166" si="65">IF(D$12=0,0,D160/D$12)</f>
        <v>5.9499611717343023E-4</v>
      </c>
      <c r="G160" s="1"/>
      <c r="H160" s="1">
        <f>SUM(OSRRefH22_11x_0)</f>
        <v>-40</v>
      </c>
      <c r="I160" s="1"/>
      <c r="J160" s="5">
        <f t="shared" ref="J160:J166" si="66">IF(H$12=0,0,H160/H$12)</f>
        <v>-2.4982975663521284E-4</v>
      </c>
      <c r="K160" s="1"/>
      <c r="L160" s="1">
        <f t="shared" ref="L160:L166" si="67">+D160-H160</f>
        <v>367.5</v>
      </c>
      <c r="M160" s="1"/>
      <c r="N160" s="5">
        <f t="shared" ref="N160:N166" si="68">IF(H160=0,0,L160/H160)</f>
        <v>-9.1875</v>
      </c>
      <c r="O160" s="14"/>
      <c r="P160" s="1">
        <f>SUM(OSRRefP22_11x_0)</f>
        <v>2194.1</v>
      </c>
      <c r="Q160" s="1"/>
      <c r="R160" s="5">
        <f t="shared" ref="R160:R166" si="69">IF(P$12=0,0,P160/P$12)</f>
        <v>7.64982797893431E-4</v>
      </c>
      <c r="S160" s="1"/>
      <c r="T160" s="1">
        <f>SUM(OSRRefT22_11x_0)</f>
        <v>-3246.83</v>
      </c>
      <c r="U160" s="1"/>
      <c r="V160" s="5">
        <f t="shared" ref="V160:V166" si="70">IF(T$12=0,0,T160/T$12)</f>
        <v>-1.3792760614390867E-3</v>
      </c>
      <c r="W160" s="1"/>
      <c r="X160" s="1">
        <f t="shared" ref="X160:X166" si="71">+P160-T160</f>
        <v>5440.93</v>
      </c>
      <c r="Y160" s="1"/>
      <c r="Z160" s="5">
        <f t="shared" ref="Z160:Z166" si="72">IF(T160=0,0,X160/T160)</f>
        <v>-1.6757668248722601</v>
      </c>
    </row>
    <row r="161" spans="1:26" s="24" customFormat="1" hidden="1" outlineLevel="2" x14ac:dyDescent="0.25">
      <c r="A161" s="29"/>
      <c r="B161" s="11" t="str">
        <f>CONCATENATE("          ", "6279", " - ", "GENERAL EXPENSE")</f>
        <v xml:space="preserve">          6279 - GENERAL EXPENSE</v>
      </c>
      <c r="C161" s="11"/>
      <c r="D161" s="6">
        <v>327.5</v>
      </c>
      <c r="E161" s="2"/>
      <c r="F161" s="7">
        <f t="shared" si="65"/>
        <v>5.9499611717343023E-4</v>
      </c>
      <c r="G161" s="2"/>
      <c r="H161" s="6">
        <v>-40</v>
      </c>
      <c r="I161" s="2"/>
      <c r="J161" s="7">
        <f t="shared" si="66"/>
        <v>-2.4982975663521284E-4</v>
      </c>
      <c r="K161" s="2"/>
      <c r="L161" s="6">
        <f t="shared" si="67"/>
        <v>367.5</v>
      </c>
      <c r="M161" s="2"/>
      <c r="N161" s="7">
        <f t="shared" si="68"/>
        <v>-9.1875</v>
      </c>
      <c r="O161" s="11"/>
      <c r="P161" s="6">
        <v>2194.1</v>
      </c>
      <c r="Q161" s="2"/>
      <c r="R161" s="7">
        <f t="shared" si="69"/>
        <v>7.64982797893431E-4</v>
      </c>
      <c r="S161" s="2"/>
      <c r="T161" s="6">
        <v>-3246.83</v>
      </c>
      <c r="U161" s="2"/>
      <c r="V161" s="7">
        <f t="shared" si="70"/>
        <v>-1.3792760614390867E-3</v>
      </c>
      <c r="W161" s="2"/>
      <c r="X161" s="6">
        <f t="shared" si="71"/>
        <v>5440.93</v>
      </c>
      <c r="Y161" s="2"/>
      <c r="Z161" s="7">
        <f t="shared" si="72"/>
        <v>-1.6757668248722601</v>
      </c>
    </row>
    <row r="162" spans="1:26" s="28" customFormat="1" outlineLevel="1" collapsed="1" x14ac:dyDescent="0.25">
      <c r="A162" s="27"/>
      <c r="B162" s="14" t="str">
        <f>CONCATENATE("     ","Insurance                                         ")</f>
        <v xml:space="preserve">     Insurance                                         </v>
      </c>
      <c r="C162" s="14"/>
      <c r="D162" s="1">
        <f>SUM(OSRRefD22_12x_0)</f>
        <v>5494.57</v>
      </c>
      <c r="E162" s="1"/>
      <c r="F162" s="5">
        <f t="shared" si="65"/>
        <v>9.9824360779774499E-3</v>
      </c>
      <c r="G162" s="1"/>
      <c r="H162" s="1">
        <f>SUM(OSRRefH22_12x_0)</f>
        <v>4044.74</v>
      </c>
      <c r="I162" s="1"/>
      <c r="J162" s="5">
        <f t="shared" si="66"/>
        <v>2.5262410246317771E-2</v>
      </c>
      <c r="K162" s="1"/>
      <c r="L162" s="1">
        <f t="shared" si="67"/>
        <v>1449.83</v>
      </c>
      <c r="M162" s="1"/>
      <c r="N162" s="5">
        <f t="shared" si="68"/>
        <v>0.35844825625380122</v>
      </c>
      <c r="O162" s="14"/>
      <c r="P162" s="1">
        <f>SUM(OSRRefP22_12x_0)</f>
        <v>21978.28</v>
      </c>
      <c r="Q162" s="1"/>
      <c r="R162" s="5">
        <f t="shared" si="69"/>
        <v>7.6628258180052129E-3</v>
      </c>
      <c r="S162" s="1"/>
      <c r="T162" s="1">
        <f>SUM(OSRRefT22_12x_0)</f>
        <v>16178.96</v>
      </c>
      <c r="U162" s="1"/>
      <c r="V162" s="5">
        <f t="shared" si="70"/>
        <v>6.8729352097216439E-3</v>
      </c>
      <c r="W162" s="1"/>
      <c r="X162" s="1">
        <f t="shared" si="71"/>
        <v>5799.32</v>
      </c>
      <c r="Y162" s="1"/>
      <c r="Z162" s="5">
        <f t="shared" si="72"/>
        <v>0.35844825625380122</v>
      </c>
    </row>
    <row r="163" spans="1:26" s="24" customFormat="1" hidden="1" outlineLevel="2" x14ac:dyDescent="0.25">
      <c r="A163" s="29"/>
      <c r="B163" s="11" t="str">
        <f>CONCATENATE("          ", "6314", " - ", "LIABILITY INSURANCE")</f>
        <v xml:space="preserve">          6314 - LIABILITY INSURANCE</v>
      </c>
      <c r="C163" s="11"/>
      <c r="D163" s="6">
        <v>5494.57</v>
      </c>
      <c r="E163" s="2"/>
      <c r="F163" s="7">
        <f t="shared" si="65"/>
        <v>9.9824360779774499E-3</v>
      </c>
      <c r="G163" s="2"/>
      <c r="H163" s="6">
        <v>4044.74</v>
      </c>
      <c r="I163" s="2"/>
      <c r="J163" s="7">
        <f t="shared" si="66"/>
        <v>2.5262410246317771E-2</v>
      </c>
      <c r="K163" s="2"/>
      <c r="L163" s="6">
        <f t="shared" si="67"/>
        <v>1449.83</v>
      </c>
      <c r="M163" s="2"/>
      <c r="N163" s="7">
        <f t="shared" si="68"/>
        <v>0.35844825625380122</v>
      </c>
      <c r="O163" s="11"/>
      <c r="P163" s="6">
        <v>21978.28</v>
      </c>
      <c r="Q163" s="2"/>
      <c r="R163" s="7">
        <f t="shared" si="69"/>
        <v>7.6628258180052129E-3</v>
      </c>
      <c r="S163" s="2"/>
      <c r="T163" s="6">
        <v>16178.96</v>
      </c>
      <c r="U163" s="2"/>
      <c r="V163" s="7">
        <f t="shared" si="70"/>
        <v>6.8729352097216439E-3</v>
      </c>
      <c r="W163" s="2"/>
      <c r="X163" s="6">
        <f t="shared" si="71"/>
        <v>5799.32</v>
      </c>
      <c r="Y163" s="2"/>
      <c r="Z163" s="7">
        <f t="shared" si="72"/>
        <v>0.35844825625380122</v>
      </c>
    </row>
    <row r="164" spans="1:26" s="28" customFormat="1" outlineLevel="1" collapsed="1" x14ac:dyDescent="0.25">
      <c r="A164" s="27"/>
      <c r="B164" s="14" t="str">
        <f>CONCATENATE("     ","Inventory Adjustment                              ")</f>
        <v xml:space="preserve">     Inventory Adjustment                              </v>
      </c>
      <c r="C164" s="14"/>
      <c r="D164" s="1">
        <f>SUM(OSRRefD22_13x_0)</f>
        <v>5100</v>
      </c>
      <c r="E164" s="1"/>
      <c r="F164" s="5">
        <f t="shared" si="65"/>
        <v>9.2655883895709761E-3</v>
      </c>
      <c r="G164" s="1"/>
      <c r="H164" s="1">
        <f>SUM(OSRRefH22_13x_0)</f>
        <v>2100</v>
      </c>
      <c r="I164" s="1"/>
      <c r="J164" s="5">
        <f t="shared" si="66"/>
        <v>1.3116062223348674E-2</v>
      </c>
      <c r="K164" s="1"/>
      <c r="L164" s="1">
        <f t="shared" si="67"/>
        <v>3000</v>
      </c>
      <c r="M164" s="1"/>
      <c r="N164" s="5">
        <f t="shared" si="68"/>
        <v>1.4285714285714286</v>
      </c>
      <c r="O164" s="14"/>
      <c r="P164" s="1">
        <f>SUM(OSRRefP22_13x_0)</f>
        <v>20400</v>
      </c>
      <c r="Q164" s="1"/>
      <c r="R164" s="5">
        <f t="shared" si="69"/>
        <v>7.1125514229187338E-3</v>
      </c>
      <c r="S164" s="1"/>
      <c r="T164" s="1">
        <f>SUM(OSRRefT22_13x_0)</f>
        <v>8400</v>
      </c>
      <c r="U164" s="1"/>
      <c r="V164" s="5">
        <f t="shared" si="70"/>
        <v>3.5683786696834537E-3</v>
      </c>
      <c r="W164" s="1"/>
      <c r="X164" s="1">
        <f t="shared" si="71"/>
        <v>12000</v>
      </c>
      <c r="Y164" s="1"/>
      <c r="Z164" s="5">
        <f t="shared" si="72"/>
        <v>1.4285714285714286</v>
      </c>
    </row>
    <row r="165" spans="1:26" s="24" customFormat="1" hidden="1" outlineLevel="2" x14ac:dyDescent="0.25">
      <c r="A165" s="29"/>
      <c r="B165" s="11" t="str">
        <f>CONCATENATE("          ", "6408", " - ", "INVENTORY ADJUSTMENT")</f>
        <v xml:space="preserve">          6408 - INVENTORY ADJUSTMENT</v>
      </c>
      <c r="C165" s="11"/>
      <c r="D165" s="6">
        <v>5100</v>
      </c>
      <c r="E165" s="2"/>
      <c r="F165" s="7">
        <f t="shared" si="65"/>
        <v>9.2655883895709761E-3</v>
      </c>
      <c r="G165" s="2"/>
      <c r="H165" s="6">
        <v>2100</v>
      </c>
      <c r="I165" s="2"/>
      <c r="J165" s="7">
        <f t="shared" si="66"/>
        <v>1.3116062223348674E-2</v>
      </c>
      <c r="K165" s="2"/>
      <c r="L165" s="6">
        <f t="shared" si="67"/>
        <v>3000</v>
      </c>
      <c r="M165" s="2"/>
      <c r="N165" s="7">
        <f t="shared" si="68"/>
        <v>1.4285714285714286</v>
      </c>
      <c r="O165" s="11"/>
      <c r="P165" s="6">
        <v>20400</v>
      </c>
      <c r="Q165" s="2"/>
      <c r="R165" s="7">
        <f t="shared" si="69"/>
        <v>7.1125514229187338E-3</v>
      </c>
      <c r="S165" s="2"/>
      <c r="T165" s="6">
        <v>8400</v>
      </c>
      <c r="U165" s="2"/>
      <c r="V165" s="7">
        <f t="shared" si="70"/>
        <v>3.5683786696834537E-3</v>
      </c>
      <c r="W165" s="2"/>
      <c r="X165" s="6">
        <f t="shared" si="71"/>
        <v>12000</v>
      </c>
      <c r="Y165" s="2"/>
      <c r="Z165" s="7">
        <f t="shared" si="72"/>
        <v>1.4285714285714286</v>
      </c>
    </row>
    <row r="166" spans="1:26" s="24" customFormat="1" hidden="1" outlineLevel="2" x14ac:dyDescent="0.25">
      <c r="A166" s="29"/>
      <c r="B166" s="11" t="str">
        <f>CONCATENATE("          ", "7741", " - ", "INV. SHRINKAGE-LOGO GIFTS")</f>
        <v xml:space="preserve">          7741 - INV. SHRINKAGE-LOGO GIFTS</v>
      </c>
      <c r="C166" s="11"/>
      <c r="D166" s="6"/>
      <c r="E166" s="2"/>
      <c r="F166" s="7">
        <f t="shared" si="65"/>
        <v>0</v>
      </c>
      <c r="G166" s="2"/>
      <c r="H166" s="6"/>
      <c r="I166" s="2"/>
      <c r="J166" s="7">
        <f t="shared" si="66"/>
        <v>0</v>
      </c>
      <c r="K166" s="2"/>
      <c r="L166" s="6">
        <f t="shared" si="67"/>
        <v>0</v>
      </c>
      <c r="M166" s="2"/>
      <c r="N166" s="7">
        <f t="shared" si="68"/>
        <v>0</v>
      </c>
      <c r="O166" s="11"/>
      <c r="P166" s="6"/>
      <c r="Q166" s="2"/>
      <c r="R166" s="7">
        <f t="shared" si="69"/>
        <v>0</v>
      </c>
      <c r="S166" s="2"/>
      <c r="T166" s="6">
        <v>0</v>
      </c>
      <c r="U166" s="2"/>
      <c r="V166" s="7">
        <f t="shared" si="70"/>
        <v>0</v>
      </c>
      <c r="W166" s="2"/>
      <c r="X166" s="6">
        <f t="shared" si="71"/>
        <v>0</v>
      </c>
      <c r="Y166" s="2"/>
      <c r="Z166" s="7">
        <f t="shared" si="72"/>
        <v>0</v>
      </c>
    </row>
    <row r="167" spans="1:26" s="28" customFormat="1" outlineLevel="1" collapsed="1" x14ac:dyDescent="0.25">
      <c r="A167" s="27"/>
      <c r="B167" s="14" t="str">
        <f>CONCATENATE("     ","Professional Services                             ")</f>
        <v xml:space="preserve">     Professional Services                             </v>
      </c>
      <c r="C167" s="14"/>
      <c r="D167" s="1">
        <f>SUM(OSRRefD22_14x_0)</f>
        <v>8186.53</v>
      </c>
      <c r="E167" s="1"/>
      <c r="F167" s="5">
        <f t="shared" ref="F167:F175" si="73">IF(D$12=0,0,D167/D$12)</f>
        <v>1.4873140650759701E-2</v>
      </c>
      <c r="G167" s="1"/>
      <c r="H167" s="1">
        <f>SUM(OSRRefH22_14x_0)</f>
        <v>0</v>
      </c>
      <c r="I167" s="1"/>
      <c r="J167" s="5">
        <f t="shared" ref="J167:J175" si="74">IF(H$12=0,0,H167/H$12)</f>
        <v>0</v>
      </c>
      <c r="K167" s="1"/>
      <c r="L167" s="1">
        <f t="shared" ref="L167:L175" si="75">+D167-H167</f>
        <v>8186.53</v>
      </c>
      <c r="M167" s="1"/>
      <c r="N167" s="5">
        <f t="shared" ref="N167:N175" si="76">IF(H167=0,0,L167/H167)</f>
        <v>0</v>
      </c>
      <c r="O167" s="14"/>
      <c r="P167" s="1">
        <f>SUM(OSRRefP22_14x_0)</f>
        <v>8186.53</v>
      </c>
      <c r="Q167" s="1"/>
      <c r="R167" s="5">
        <f t="shared" ref="R167:R175" si="77">IF(P$12=0,0,P167/P$12)</f>
        <v>2.854270372562103E-3</v>
      </c>
      <c r="S167" s="1"/>
      <c r="T167" s="1">
        <f>SUM(OSRRefT22_14x_0)</f>
        <v>0</v>
      </c>
      <c r="U167" s="1"/>
      <c r="V167" s="5">
        <f t="shared" ref="V167:V175" si="78">IF(T$12=0,0,T167/T$12)</f>
        <v>0</v>
      </c>
      <c r="W167" s="1"/>
      <c r="X167" s="1">
        <f t="shared" ref="X167:X175" si="79">+P167-T167</f>
        <v>8186.53</v>
      </c>
      <c r="Y167" s="1"/>
      <c r="Z167" s="5">
        <f t="shared" ref="Z167:Z175" si="80">IF(T167=0,0,X167/T167)</f>
        <v>0</v>
      </c>
    </row>
    <row r="168" spans="1:26" s="24" customFormat="1" hidden="1" outlineLevel="2" x14ac:dyDescent="0.25">
      <c r="A168" s="29"/>
      <c r="B168" s="11" t="str">
        <f>CONCATENATE("          ", "6336", " - ", "PROFESSIONAL SERVICES")</f>
        <v xml:space="preserve">          6336 - PROFESSIONAL SERVICES</v>
      </c>
      <c r="C168" s="11"/>
      <c r="D168" s="6">
        <v>8186.53</v>
      </c>
      <c r="E168" s="2"/>
      <c r="F168" s="7">
        <f t="shared" si="73"/>
        <v>1.4873140650759701E-2</v>
      </c>
      <c r="G168" s="2"/>
      <c r="H168" s="6"/>
      <c r="I168" s="2"/>
      <c r="J168" s="7">
        <f t="shared" si="74"/>
        <v>0</v>
      </c>
      <c r="K168" s="2"/>
      <c r="L168" s="6">
        <f t="shared" si="75"/>
        <v>8186.53</v>
      </c>
      <c r="M168" s="2"/>
      <c r="N168" s="7">
        <f t="shared" si="76"/>
        <v>0</v>
      </c>
      <c r="O168" s="11"/>
      <c r="P168" s="6">
        <v>8186.53</v>
      </c>
      <c r="Q168" s="2"/>
      <c r="R168" s="7">
        <f t="shared" si="77"/>
        <v>2.854270372562103E-3</v>
      </c>
      <c r="S168" s="2"/>
      <c r="T168" s="6"/>
      <c r="U168" s="2"/>
      <c r="V168" s="7">
        <f t="shared" si="78"/>
        <v>0</v>
      </c>
      <c r="W168" s="2"/>
      <c r="X168" s="6">
        <f t="shared" si="79"/>
        <v>8186.53</v>
      </c>
      <c r="Y168" s="2"/>
      <c r="Z168" s="7">
        <f t="shared" si="80"/>
        <v>0</v>
      </c>
    </row>
    <row r="169" spans="1:26" s="28" customFormat="1" outlineLevel="1" collapsed="1" x14ac:dyDescent="0.25">
      <c r="A169" s="27"/>
      <c r="B169" s="14" t="str">
        <f>CONCATENATE("     ","Rent                                              ")</f>
        <v xml:space="preserve">     Rent                                              </v>
      </c>
      <c r="C169" s="14"/>
      <c r="D169" s="1">
        <f>SUM(OSRRefD22_15x_0)</f>
        <v>6100</v>
      </c>
      <c r="E169" s="1"/>
      <c r="F169" s="5">
        <f t="shared" si="73"/>
        <v>1.1082370426741754E-2</v>
      </c>
      <c r="G169" s="1"/>
      <c r="H169" s="1">
        <f>SUM(OSRRefH22_15x_0)</f>
        <v>6100</v>
      </c>
      <c r="I169" s="1"/>
      <c r="J169" s="5">
        <f t="shared" si="74"/>
        <v>3.8099037886869962E-2</v>
      </c>
      <c r="K169" s="1"/>
      <c r="L169" s="1">
        <f t="shared" si="75"/>
        <v>0</v>
      </c>
      <c r="M169" s="1"/>
      <c r="N169" s="5">
        <f t="shared" si="76"/>
        <v>0</v>
      </c>
      <c r="O169" s="14"/>
      <c r="P169" s="1">
        <f>SUM(OSRRefP22_15x_0)</f>
        <v>24400</v>
      </c>
      <c r="Q169" s="1"/>
      <c r="R169" s="5">
        <f t="shared" si="77"/>
        <v>8.5071693489812313E-3</v>
      </c>
      <c r="S169" s="1"/>
      <c r="T169" s="1">
        <f>SUM(OSRRefT22_15x_0)</f>
        <v>24400</v>
      </c>
      <c r="U169" s="1"/>
      <c r="V169" s="5">
        <f t="shared" si="78"/>
        <v>1.036529042146146E-2</v>
      </c>
      <c r="W169" s="1"/>
      <c r="X169" s="1">
        <f t="shared" si="79"/>
        <v>0</v>
      </c>
      <c r="Y169" s="1"/>
      <c r="Z169" s="5">
        <f t="shared" si="80"/>
        <v>0</v>
      </c>
    </row>
    <row r="170" spans="1:26" s="24" customFormat="1" hidden="1" outlineLevel="2" x14ac:dyDescent="0.25">
      <c r="A170" s="29"/>
      <c r="B170" s="11" t="str">
        <f>CONCATENATE("          ", "6273", " - ", "RENT")</f>
        <v xml:space="preserve">          6273 - RENT</v>
      </c>
      <c r="C170" s="11"/>
      <c r="D170" s="6">
        <v>6100</v>
      </c>
      <c r="E170" s="2"/>
      <c r="F170" s="7">
        <f t="shared" si="73"/>
        <v>1.1082370426741754E-2</v>
      </c>
      <c r="G170" s="2"/>
      <c r="H170" s="6">
        <v>6100</v>
      </c>
      <c r="I170" s="2"/>
      <c r="J170" s="7">
        <f t="shared" si="74"/>
        <v>3.8099037886869962E-2</v>
      </c>
      <c r="K170" s="2"/>
      <c r="L170" s="6">
        <f t="shared" si="75"/>
        <v>0</v>
      </c>
      <c r="M170" s="2"/>
      <c r="N170" s="7">
        <f t="shared" si="76"/>
        <v>0</v>
      </c>
      <c r="O170" s="11"/>
      <c r="P170" s="6">
        <v>24400</v>
      </c>
      <c r="Q170" s="2"/>
      <c r="R170" s="7">
        <f t="shared" si="77"/>
        <v>8.5071693489812313E-3</v>
      </c>
      <c r="S170" s="2"/>
      <c r="T170" s="6">
        <v>24400</v>
      </c>
      <c r="U170" s="2"/>
      <c r="V170" s="7">
        <f t="shared" si="78"/>
        <v>1.036529042146146E-2</v>
      </c>
      <c r="W170" s="2"/>
      <c r="X170" s="6">
        <f t="shared" si="79"/>
        <v>0</v>
      </c>
      <c r="Y170" s="2"/>
      <c r="Z170" s="7">
        <f t="shared" si="80"/>
        <v>0</v>
      </c>
    </row>
    <row r="171" spans="1:26" s="28" customFormat="1" outlineLevel="1" collapsed="1" x14ac:dyDescent="0.25">
      <c r="A171" s="27"/>
      <c r="B171" s="14" t="str">
        <f>CONCATENATE("     ","Repair and Maintenance                            ")</f>
        <v xml:space="preserve">     Repair and Maintenance                            </v>
      </c>
      <c r="C171" s="14"/>
      <c r="D171" s="1">
        <f>SUM(OSRRefD22_16x_0)</f>
        <v>12440.880000000001</v>
      </c>
      <c r="E171" s="1"/>
      <c r="F171" s="5">
        <f t="shared" si="73"/>
        <v>2.2602367310597209E-2</v>
      </c>
      <c r="G171" s="1"/>
      <c r="H171" s="1">
        <f>SUM(OSRRefH22_16x_0)</f>
        <v>11552.1</v>
      </c>
      <c r="I171" s="1"/>
      <c r="J171" s="5">
        <f t="shared" si="74"/>
        <v>7.2151458290641055E-2</v>
      </c>
      <c r="K171" s="1"/>
      <c r="L171" s="1">
        <f t="shared" si="75"/>
        <v>888.78000000000065</v>
      </c>
      <c r="M171" s="1"/>
      <c r="N171" s="5">
        <f t="shared" si="76"/>
        <v>7.6936660866855425E-2</v>
      </c>
      <c r="O171" s="14"/>
      <c r="P171" s="1">
        <f>SUM(OSRRefP22_16x_0)</f>
        <v>89457.44</v>
      </c>
      <c r="Q171" s="1"/>
      <c r="R171" s="5">
        <f t="shared" si="77"/>
        <v>3.118973736091506E-2</v>
      </c>
      <c r="S171" s="1"/>
      <c r="T171" s="1">
        <f>SUM(OSRRefT22_16x_0)</f>
        <v>97944.37</v>
      </c>
      <c r="U171" s="1"/>
      <c r="V171" s="5">
        <f t="shared" si="78"/>
        <v>4.1607452467093325E-2</v>
      </c>
      <c r="W171" s="1"/>
      <c r="X171" s="1">
        <f t="shared" si="79"/>
        <v>-8486.929999999993</v>
      </c>
      <c r="Y171" s="1"/>
      <c r="Z171" s="5">
        <f t="shared" si="80"/>
        <v>-8.6650513960118317E-2</v>
      </c>
    </row>
    <row r="172" spans="1:26" s="24" customFormat="1" hidden="1" outlineLevel="2" x14ac:dyDescent="0.25">
      <c r="A172" s="29"/>
      <c r="B172" s="11" t="str">
        <f>CONCATENATE("          ", "6371", " - ", "COMPUTER SOFTWARE MAINTENANCE")</f>
        <v xml:space="preserve">          6371 - COMPUTER SOFTWARE MAINTENANCE</v>
      </c>
      <c r="C172" s="11"/>
      <c r="D172" s="6">
        <v>2887.5</v>
      </c>
      <c r="E172" s="2"/>
      <c r="F172" s="7">
        <f t="shared" si="73"/>
        <v>5.2459581323306258E-3</v>
      </c>
      <c r="G172" s="2"/>
      <c r="H172" s="6">
        <v>7.69</v>
      </c>
      <c r="I172" s="2"/>
      <c r="J172" s="7">
        <f t="shared" si="74"/>
        <v>4.8029770713119671E-5</v>
      </c>
      <c r="K172" s="2"/>
      <c r="L172" s="6">
        <f t="shared" si="75"/>
        <v>2879.81</v>
      </c>
      <c r="M172" s="2"/>
      <c r="N172" s="7">
        <f t="shared" si="76"/>
        <v>374.48764629388813</v>
      </c>
      <c r="O172" s="11"/>
      <c r="P172" s="6">
        <v>62511</v>
      </c>
      <c r="Q172" s="2"/>
      <c r="R172" s="7">
        <f t="shared" si="77"/>
        <v>2.1794740294023184E-2</v>
      </c>
      <c r="S172" s="2"/>
      <c r="T172" s="6">
        <v>58436.47</v>
      </c>
      <c r="U172" s="2"/>
      <c r="V172" s="7">
        <f t="shared" si="78"/>
        <v>2.4824220604713936E-2</v>
      </c>
      <c r="W172" s="2"/>
      <c r="X172" s="6">
        <f t="shared" si="79"/>
        <v>4074.5299999999988</v>
      </c>
      <c r="Y172" s="2"/>
      <c r="Z172" s="7">
        <f t="shared" si="80"/>
        <v>6.972580650405473E-2</v>
      </c>
    </row>
    <row r="173" spans="1:26" s="24" customFormat="1" hidden="1" outlineLevel="2" x14ac:dyDescent="0.25">
      <c r="A173" s="29"/>
      <c r="B173" s="11" t="str">
        <f>CONCATENATE("          ", "6372", " - ", "COMPUTER HARDWARE MAINTENANCE")</f>
        <v xml:space="preserve">          6372 - COMPUTER HARDWARE MAINTENANCE</v>
      </c>
      <c r="C173" s="11"/>
      <c r="D173" s="6"/>
      <c r="E173" s="2"/>
      <c r="F173" s="7">
        <f t="shared" si="73"/>
        <v>0</v>
      </c>
      <c r="G173" s="2"/>
      <c r="H173" s="6">
        <v>8.11</v>
      </c>
      <c r="I173" s="2"/>
      <c r="J173" s="7">
        <f t="shared" si="74"/>
        <v>5.0652983157789402E-5</v>
      </c>
      <c r="K173" s="2"/>
      <c r="L173" s="6">
        <f t="shared" si="75"/>
        <v>-8.11</v>
      </c>
      <c r="M173" s="2"/>
      <c r="N173" s="7">
        <f t="shared" si="76"/>
        <v>-1</v>
      </c>
      <c r="O173" s="11"/>
      <c r="P173" s="6"/>
      <c r="Q173" s="2"/>
      <c r="R173" s="7">
        <f t="shared" si="77"/>
        <v>0</v>
      </c>
      <c r="S173" s="2"/>
      <c r="T173" s="6">
        <v>0</v>
      </c>
      <c r="U173" s="2"/>
      <c r="V173" s="7">
        <f t="shared" si="78"/>
        <v>0</v>
      </c>
      <c r="W173" s="2"/>
      <c r="X173" s="6">
        <f t="shared" si="79"/>
        <v>0</v>
      </c>
      <c r="Y173" s="2"/>
      <c r="Z173" s="7">
        <f t="shared" si="80"/>
        <v>0</v>
      </c>
    </row>
    <row r="174" spans="1:26" s="24" customFormat="1" hidden="1" outlineLevel="2" x14ac:dyDescent="0.25">
      <c r="A174" s="29"/>
      <c r="B174" s="11" t="str">
        <f>CONCATENATE("          ", "6373", " - ", "MAINTENANCE CONTRACTS")</f>
        <v xml:space="preserve">          6373 - MAINTENANCE CONTRACTS</v>
      </c>
      <c r="C174" s="11"/>
      <c r="D174" s="6">
        <v>4034.78</v>
      </c>
      <c r="E174" s="2"/>
      <c r="F174" s="7">
        <f t="shared" si="73"/>
        <v>7.3303158279359182E-3</v>
      </c>
      <c r="G174" s="2"/>
      <c r="H174" s="6">
        <v>5396.67</v>
      </c>
      <c r="I174" s="2"/>
      <c r="J174" s="7">
        <f t="shared" si="74"/>
        <v>3.3706218818513857E-2</v>
      </c>
      <c r="K174" s="2"/>
      <c r="L174" s="6">
        <f t="shared" si="75"/>
        <v>-1361.8899999999999</v>
      </c>
      <c r="M174" s="2"/>
      <c r="N174" s="7">
        <f t="shared" si="76"/>
        <v>-0.25235747229309924</v>
      </c>
      <c r="O174" s="11"/>
      <c r="P174" s="6">
        <v>12066.73</v>
      </c>
      <c r="Q174" s="2"/>
      <c r="R174" s="7">
        <f t="shared" si="77"/>
        <v>4.2071194917390276E-3</v>
      </c>
      <c r="S174" s="2"/>
      <c r="T174" s="6">
        <v>30585.72</v>
      </c>
      <c r="U174" s="2"/>
      <c r="V174" s="7">
        <f t="shared" si="78"/>
        <v>1.2993027481536978E-2</v>
      </c>
      <c r="W174" s="2"/>
      <c r="X174" s="6">
        <f t="shared" si="79"/>
        <v>-18518.990000000002</v>
      </c>
      <c r="Y174" s="2"/>
      <c r="Z174" s="7">
        <f t="shared" si="80"/>
        <v>-0.60547830817780324</v>
      </c>
    </row>
    <row r="175" spans="1:26" s="24" customFormat="1" hidden="1" outlineLevel="2" x14ac:dyDescent="0.25">
      <c r="A175" s="29"/>
      <c r="B175" s="11" t="str">
        <f>CONCATENATE("          ", "6375", " - ", "OUTSIDE REPAIRS &amp; MAINTENANCE")</f>
        <v xml:space="preserve">          6375 - OUTSIDE REPAIRS &amp; MAINTENANCE</v>
      </c>
      <c r="C175" s="11"/>
      <c r="D175" s="6">
        <v>5518.6</v>
      </c>
      <c r="E175" s="2"/>
      <c r="F175" s="7">
        <f t="shared" si="73"/>
        <v>1.0026093350330664E-2</v>
      </c>
      <c r="G175" s="2"/>
      <c r="H175" s="6">
        <v>6139.63</v>
      </c>
      <c r="I175" s="2"/>
      <c r="J175" s="7">
        <f t="shared" si="74"/>
        <v>3.8346556718256299E-2</v>
      </c>
      <c r="K175" s="2"/>
      <c r="L175" s="6">
        <f t="shared" si="75"/>
        <v>-621.02999999999975</v>
      </c>
      <c r="M175" s="2"/>
      <c r="N175" s="7">
        <f t="shared" si="76"/>
        <v>-0.1011510465614377</v>
      </c>
      <c r="O175" s="11"/>
      <c r="P175" s="6">
        <v>14879.71</v>
      </c>
      <c r="Q175" s="2"/>
      <c r="R175" s="7">
        <f t="shared" si="77"/>
        <v>5.1878775751528486E-3</v>
      </c>
      <c r="S175" s="2"/>
      <c r="T175" s="6">
        <v>8922.18</v>
      </c>
      <c r="U175" s="2"/>
      <c r="V175" s="7">
        <f t="shared" si="78"/>
        <v>3.7902043808424189E-3</v>
      </c>
      <c r="W175" s="2"/>
      <c r="X175" s="6">
        <f t="shared" si="79"/>
        <v>5957.5299999999988</v>
      </c>
      <c r="Y175" s="2"/>
      <c r="Z175" s="7">
        <f t="shared" si="80"/>
        <v>0.66772134164520314</v>
      </c>
    </row>
    <row r="176" spans="1:26" s="28" customFormat="1" outlineLevel="1" collapsed="1" x14ac:dyDescent="0.25">
      <c r="A176" s="27"/>
      <c r="B176" s="14" t="str">
        <f>CONCATENATE("     ","Royalty &amp; Commissions                             ")</f>
        <v xml:space="preserve">     Royalty &amp; Commissions                             </v>
      </c>
      <c r="C176" s="14"/>
      <c r="D176" s="1">
        <f>SUM(OSRRefD22_17x_0)</f>
        <v>10709.72</v>
      </c>
      <c r="E176" s="1"/>
      <c r="F176" s="5">
        <f t="shared" ref="F176:F179" si="81">IF(D$12=0,0,D176/D$12)</f>
        <v>1.9457226919128639E-2</v>
      </c>
      <c r="G176" s="1"/>
      <c r="H176" s="1">
        <f>SUM(OSRRefH22_17x_0)</f>
        <v>10810</v>
      </c>
      <c r="I176" s="1"/>
      <c r="J176" s="5">
        <f t="shared" ref="J176:J179" si="82">IF(H$12=0,0,H176/H$12)</f>
        <v>6.7516491730666275E-2</v>
      </c>
      <c r="K176" s="1"/>
      <c r="L176" s="1">
        <f t="shared" ref="L176:L179" si="83">+D176-H176</f>
        <v>-100.28000000000065</v>
      </c>
      <c r="M176" s="1"/>
      <c r="N176" s="5">
        <f t="shared" ref="N176:N179" si="84">IF(H176=0,0,L176/H176)</f>
        <v>-9.276595744680911E-3</v>
      </c>
      <c r="O176" s="14"/>
      <c r="P176" s="1">
        <f>SUM(OSRRefP22_17x_0)</f>
        <v>19840.93</v>
      </c>
      <c r="Q176" s="1"/>
      <c r="R176" s="5">
        <f t="shared" ref="R176:R179" si="85">IF(P$12=0,0,P176/P$12)</f>
        <v>6.9176291619377937E-3</v>
      </c>
      <c r="S176" s="1"/>
      <c r="T176" s="1">
        <f>SUM(OSRRefT22_17x_0)</f>
        <v>24117</v>
      </c>
      <c r="U176" s="1"/>
      <c r="V176" s="5">
        <f t="shared" ref="V176:V179" si="86">IF(T$12=0,0,T176/T$12)</f>
        <v>1.0245070044851886E-2</v>
      </c>
      <c r="W176" s="1"/>
      <c r="X176" s="1">
        <f t="shared" ref="X176:X179" si="87">+P176-T176</f>
        <v>-4276.07</v>
      </c>
      <c r="Y176" s="1"/>
      <c r="Z176" s="5">
        <f t="shared" ref="Z176:Z179" si="88">IF(T176=0,0,X176/T176)</f>
        <v>-0.17730522038396151</v>
      </c>
    </row>
    <row r="177" spans="1:26" s="24" customFormat="1" hidden="1" outlineLevel="2" x14ac:dyDescent="0.25">
      <c r="A177" s="29"/>
      <c r="B177" s="11" t="str">
        <f>CONCATENATE("          ", "6253", " - ", "ROYALTY DUE ATHLETICS-LRG")</f>
        <v xml:space="preserve">          6253 - ROYALTY DUE ATHLETICS-LRG</v>
      </c>
      <c r="C177" s="11"/>
      <c r="D177" s="6">
        <v>8783.75</v>
      </c>
      <c r="E177" s="2"/>
      <c r="F177" s="7">
        <f t="shared" si="81"/>
        <v>1.5958159218998832E-2</v>
      </c>
      <c r="G177" s="2"/>
      <c r="H177" s="6">
        <v>10489.6</v>
      </c>
      <c r="I177" s="2"/>
      <c r="J177" s="7">
        <f t="shared" si="82"/>
        <v>6.5515355380018223E-2</v>
      </c>
      <c r="K177" s="2"/>
      <c r="L177" s="6">
        <f t="shared" si="83"/>
        <v>-1705.8500000000004</v>
      </c>
      <c r="M177" s="2"/>
      <c r="N177" s="7">
        <f t="shared" si="84"/>
        <v>-0.16262297895057964</v>
      </c>
      <c r="O177" s="11"/>
      <c r="P177" s="6">
        <v>23160.29</v>
      </c>
      <c r="Q177" s="2"/>
      <c r="R177" s="7">
        <f t="shared" si="85"/>
        <v>8.0749389017014967E-3</v>
      </c>
      <c r="S177" s="2"/>
      <c r="T177" s="6">
        <v>18411.8</v>
      </c>
      <c r="U177" s="2"/>
      <c r="V177" s="7">
        <f t="shared" si="86"/>
        <v>7.8214612369616448E-3</v>
      </c>
      <c r="W177" s="2"/>
      <c r="X177" s="6">
        <f t="shared" si="87"/>
        <v>4748.4900000000016</v>
      </c>
      <c r="Y177" s="2"/>
      <c r="Z177" s="7">
        <f t="shared" si="88"/>
        <v>0.25790471328169989</v>
      </c>
    </row>
    <row r="178" spans="1:26" s="24" customFormat="1" hidden="1" outlineLevel="2" x14ac:dyDescent="0.25">
      <c r="A178" s="29"/>
      <c r="B178" s="11" t="str">
        <f>CONCATENATE("          ", "6254", " - ", "ROYALTY &amp; COMMISSIONS")</f>
        <v xml:space="preserve">          6254 - ROYALTY &amp; COMMISSIONS</v>
      </c>
      <c r="C178" s="11"/>
      <c r="D178" s="6"/>
      <c r="E178" s="2"/>
      <c r="F178" s="7">
        <f t="shared" si="81"/>
        <v>0</v>
      </c>
      <c r="G178" s="2"/>
      <c r="H178" s="6"/>
      <c r="I178" s="2"/>
      <c r="J178" s="7">
        <f t="shared" si="82"/>
        <v>0</v>
      </c>
      <c r="K178" s="2"/>
      <c r="L178" s="6">
        <f t="shared" si="83"/>
        <v>0</v>
      </c>
      <c r="M178" s="2"/>
      <c r="N178" s="7">
        <f t="shared" si="84"/>
        <v>0</v>
      </c>
      <c r="O178" s="11"/>
      <c r="P178" s="6">
        <v>-7027.5</v>
      </c>
      <c r="Q178" s="2"/>
      <c r="R178" s="7">
        <f t="shared" si="85"/>
        <v>-2.450169368851049E-3</v>
      </c>
      <c r="S178" s="2"/>
      <c r="T178" s="6"/>
      <c r="U178" s="2"/>
      <c r="V178" s="7">
        <f t="shared" si="86"/>
        <v>0</v>
      </c>
      <c r="W178" s="2"/>
      <c r="X178" s="6">
        <f t="shared" si="87"/>
        <v>-7027.5</v>
      </c>
      <c r="Y178" s="2"/>
      <c r="Z178" s="7">
        <f t="shared" si="88"/>
        <v>0</v>
      </c>
    </row>
    <row r="179" spans="1:26" s="24" customFormat="1" hidden="1" outlineLevel="2" x14ac:dyDescent="0.25">
      <c r="A179" s="29"/>
      <c r="B179" s="11" t="str">
        <f>CONCATENATE("          ", "6259", " - ", "ROYALTY &amp; COMMISSIONS")</f>
        <v xml:space="preserve">          6259 - ROYALTY &amp; COMMISSIONS</v>
      </c>
      <c r="C179" s="11"/>
      <c r="D179" s="6">
        <v>1925.97</v>
      </c>
      <c r="E179" s="2"/>
      <c r="F179" s="7">
        <f t="shared" si="81"/>
        <v>3.4990677001298064E-3</v>
      </c>
      <c r="G179" s="2"/>
      <c r="H179" s="6">
        <v>320.39999999999998</v>
      </c>
      <c r="I179" s="2"/>
      <c r="J179" s="7">
        <f t="shared" si="82"/>
        <v>2.0011363506480546E-3</v>
      </c>
      <c r="K179" s="2"/>
      <c r="L179" s="6">
        <f t="shared" si="83"/>
        <v>1605.5700000000002</v>
      </c>
      <c r="M179" s="2"/>
      <c r="N179" s="7">
        <f t="shared" si="84"/>
        <v>5.0111423220973794</v>
      </c>
      <c r="O179" s="11"/>
      <c r="P179" s="6">
        <v>3708.14</v>
      </c>
      <c r="Q179" s="2"/>
      <c r="R179" s="7">
        <f t="shared" si="85"/>
        <v>1.2928596290873466E-3</v>
      </c>
      <c r="S179" s="2"/>
      <c r="T179" s="6">
        <v>5705.2</v>
      </c>
      <c r="U179" s="2"/>
      <c r="V179" s="7">
        <f t="shared" si="86"/>
        <v>2.4236088078902428E-3</v>
      </c>
      <c r="W179" s="2"/>
      <c r="X179" s="6">
        <f t="shared" si="87"/>
        <v>-1997.06</v>
      </c>
      <c r="Y179" s="2"/>
      <c r="Z179" s="7">
        <f t="shared" si="88"/>
        <v>-0.35004206688634931</v>
      </c>
    </row>
    <row r="180" spans="1:26" s="28" customFormat="1" outlineLevel="1" collapsed="1" x14ac:dyDescent="0.25">
      <c r="A180" s="27"/>
      <c r="B180" s="14" t="str">
        <f>CONCATENATE("     ","Services                                          ")</f>
        <v xml:space="preserve">     Services                                          </v>
      </c>
      <c r="C180" s="14"/>
      <c r="D180" s="1">
        <f>SUM(OSRRefD22_18x_0)</f>
        <v>5241.84</v>
      </c>
      <c r="E180" s="1"/>
      <c r="F180" s="5">
        <f t="shared" ref="F180:F184" si="89">IF(D$12=0,0,D180/D$12)</f>
        <v>9.5232807537232785E-3</v>
      </c>
      <c r="G180" s="1"/>
      <c r="H180" s="1">
        <f>SUM(OSRRefH22_18x_0)</f>
        <v>3968.4200000000005</v>
      </c>
      <c r="I180" s="1"/>
      <c r="J180" s="5">
        <f t="shared" ref="J180:J184" si="90">IF(H$12=0,0,H180/H$12)</f>
        <v>2.4785735070657788E-2</v>
      </c>
      <c r="K180" s="1"/>
      <c r="L180" s="1">
        <f t="shared" ref="L180:L184" si="91">+D180-H180</f>
        <v>1273.4199999999996</v>
      </c>
      <c r="M180" s="1"/>
      <c r="N180" s="5">
        <f t="shared" ref="N180:N184" si="92">IF(H180=0,0,L180/H180)</f>
        <v>0.3208884140287569</v>
      </c>
      <c r="O180" s="14"/>
      <c r="P180" s="1">
        <f>SUM(OSRRefP22_18x_0)</f>
        <v>26462.6</v>
      </c>
      <c r="Q180" s="1"/>
      <c r="R180" s="5">
        <f t="shared" ref="R180:R184" si="93">IF(P$12=0,0,P180/P$12)</f>
        <v>9.2263040825553561E-3</v>
      </c>
      <c r="S180" s="1"/>
      <c r="T180" s="1">
        <f>SUM(OSRRefT22_18x_0)</f>
        <v>12791.19</v>
      </c>
      <c r="U180" s="1"/>
      <c r="V180" s="5">
        <f t="shared" ref="V180:V184" si="94">IF(T$12=0,0,T180/T$12)</f>
        <v>5.4337868518890831E-3</v>
      </c>
      <c r="W180" s="1"/>
      <c r="X180" s="1">
        <f t="shared" ref="X180:X184" si="95">+P180-T180</f>
        <v>13671.409999999998</v>
      </c>
      <c r="Y180" s="1"/>
      <c r="Z180" s="5">
        <f t="shared" ref="Z180:Z184" si="96">IF(T180=0,0,X180/T180)</f>
        <v>1.0688145512653628</v>
      </c>
    </row>
    <row r="181" spans="1:26" s="24" customFormat="1" hidden="1" outlineLevel="2" x14ac:dyDescent="0.25">
      <c r="A181" s="29"/>
      <c r="B181" s="11" t="str">
        <f>CONCATENATE("          ", "6282", " - ", "JANITORIAL/EXTERMINATOR EXPENS")</f>
        <v xml:space="preserve">          6282 - JANITORIAL/EXTERMINATOR EXPENS</v>
      </c>
      <c r="C181" s="11"/>
      <c r="D181" s="6">
        <v>753.11</v>
      </c>
      <c r="E181" s="2"/>
      <c r="F181" s="7">
        <f t="shared" si="89"/>
        <v>1.3682367200136857E-3</v>
      </c>
      <c r="G181" s="2"/>
      <c r="H181" s="6">
        <v>4330.68</v>
      </c>
      <c r="I181" s="2"/>
      <c r="J181" s="7">
        <f t="shared" si="90"/>
        <v>2.7048318261624592E-2</v>
      </c>
      <c r="K181" s="2"/>
      <c r="L181" s="6">
        <f t="shared" si="91"/>
        <v>-3577.57</v>
      </c>
      <c r="M181" s="2"/>
      <c r="N181" s="7">
        <f t="shared" si="92"/>
        <v>-0.82609890363638039</v>
      </c>
      <c r="O181" s="11"/>
      <c r="P181" s="6">
        <v>1728.68</v>
      </c>
      <c r="Q181" s="2"/>
      <c r="R181" s="7">
        <f t="shared" si="93"/>
        <v>6.0271202910642922E-4</v>
      </c>
      <c r="S181" s="2"/>
      <c r="T181" s="6">
        <v>5073.62</v>
      </c>
      <c r="U181" s="2"/>
      <c r="V181" s="7">
        <f t="shared" si="94"/>
        <v>2.1553092126284958E-3</v>
      </c>
      <c r="W181" s="2"/>
      <c r="X181" s="6">
        <f t="shared" si="95"/>
        <v>-3344.9399999999996</v>
      </c>
      <c r="Y181" s="2"/>
      <c r="Z181" s="7">
        <f t="shared" si="96"/>
        <v>-0.65928075023356103</v>
      </c>
    </row>
    <row r="182" spans="1:26" s="24" customFormat="1" hidden="1" outlineLevel="2" x14ac:dyDescent="0.25">
      <c r="A182" s="29"/>
      <c r="B182" s="11" t="str">
        <f>CONCATENATE("          ", "6283", " - ", "PLANT SERVICE")</f>
        <v xml:space="preserve">          6283 - PLANT SERVICE</v>
      </c>
      <c r="C182" s="11"/>
      <c r="D182" s="6"/>
      <c r="E182" s="2"/>
      <c r="F182" s="7">
        <f t="shared" si="89"/>
        <v>0</v>
      </c>
      <c r="G182" s="2"/>
      <c r="H182" s="6"/>
      <c r="I182" s="2"/>
      <c r="J182" s="7">
        <f t="shared" si="90"/>
        <v>0</v>
      </c>
      <c r="K182" s="2"/>
      <c r="L182" s="6">
        <f t="shared" si="91"/>
        <v>0</v>
      </c>
      <c r="M182" s="2"/>
      <c r="N182" s="7">
        <f t="shared" si="92"/>
        <v>0</v>
      </c>
      <c r="O182" s="11"/>
      <c r="P182" s="6"/>
      <c r="Q182" s="2"/>
      <c r="R182" s="7">
        <f t="shared" si="93"/>
        <v>0</v>
      </c>
      <c r="S182" s="2"/>
      <c r="T182" s="6">
        <v>130</v>
      </c>
      <c r="U182" s="2"/>
      <c r="V182" s="7">
        <f t="shared" si="94"/>
        <v>5.5224907983196305E-5</v>
      </c>
      <c r="W182" s="2"/>
      <c r="X182" s="6">
        <f t="shared" si="95"/>
        <v>-130</v>
      </c>
      <c r="Y182" s="2"/>
      <c r="Z182" s="7">
        <f t="shared" si="96"/>
        <v>-1</v>
      </c>
    </row>
    <row r="183" spans="1:26" s="24" customFormat="1" hidden="1" outlineLevel="2" x14ac:dyDescent="0.25">
      <c r="A183" s="29"/>
      <c r="B183" s="11" t="str">
        <f>CONCATENATE("          ", "6284", " - ", "TRASH REMOVAL EXPENSE")</f>
        <v xml:space="preserve">          6284 - TRASH REMOVAL EXPENSE</v>
      </c>
      <c r="C183" s="11"/>
      <c r="D183" s="6">
        <v>149.69999999999999</v>
      </c>
      <c r="E183" s="2"/>
      <c r="F183" s="7">
        <f t="shared" si="89"/>
        <v>2.7197227096446565E-4</v>
      </c>
      <c r="G183" s="2"/>
      <c r="H183" s="6">
        <v>157.59</v>
      </c>
      <c r="I183" s="2"/>
      <c r="J183" s="7">
        <f t="shared" si="90"/>
        <v>9.8426678370357981E-4</v>
      </c>
      <c r="K183" s="2"/>
      <c r="L183" s="6">
        <f t="shared" si="91"/>
        <v>-7.8900000000000148</v>
      </c>
      <c r="M183" s="2"/>
      <c r="N183" s="7">
        <f t="shared" si="92"/>
        <v>-5.0066628593184941E-2</v>
      </c>
      <c r="O183" s="11"/>
      <c r="P183" s="6">
        <v>591.66999999999996</v>
      </c>
      <c r="Q183" s="2"/>
      <c r="R183" s="7">
        <f t="shared" si="93"/>
        <v>2.0628839707834937E-4</v>
      </c>
      <c r="S183" s="2"/>
      <c r="T183" s="6">
        <v>585.29999999999995</v>
      </c>
      <c r="U183" s="2"/>
      <c r="V183" s="7">
        <f t="shared" si="94"/>
        <v>2.4863952801972922E-4</v>
      </c>
      <c r="W183" s="2"/>
      <c r="X183" s="6">
        <f t="shared" si="95"/>
        <v>6.3700000000000045</v>
      </c>
      <c r="Y183" s="2"/>
      <c r="Z183" s="7">
        <f t="shared" si="96"/>
        <v>1.0883307705450205E-2</v>
      </c>
    </row>
    <row r="184" spans="1:26" s="24" customFormat="1" hidden="1" outlineLevel="2" x14ac:dyDescent="0.25">
      <c r="A184" s="29"/>
      <c r="B184" s="11" t="str">
        <f>CONCATENATE("          ", "6285", " - ", "JANITORIAL SERVICES")</f>
        <v xml:space="preserve">          6285 - JANITORIAL SERVICES</v>
      </c>
      <c r="C184" s="11"/>
      <c r="D184" s="6">
        <v>4339.03</v>
      </c>
      <c r="E184" s="2"/>
      <c r="F184" s="7">
        <f t="shared" si="89"/>
        <v>7.8830717627451259E-3</v>
      </c>
      <c r="G184" s="2"/>
      <c r="H184" s="6">
        <v>-519.85</v>
      </c>
      <c r="I184" s="2"/>
      <c r="J184" s="7">
        <f t="shared" si="90"/>
        <v>-3.2468499746703852E-3</v>
      </c>
      <c r="K184" s="2"/>
      <c r="L184" s="6">
        <f t="shared" si="91"/>
        <v>4858.88</v>
      </c>
      <c r="M184" s="2"/>
      <c r="N184" s="7">
        <f t="shared" si="92"/>
        <v>-9.3466961623545259</v>
      </c>
      <c r="O184" s="11"/>
      <c r="P184" s="6">
        <v>24142.25</v>
      </c>
      <c r="Q184" s="2"/>
      <c r="R184" s="7">
        <f t="shared" si="93"/>
        <v>8.4173036563705787E-3</v>
      </c>
      <c r="S184" s="2"/>
      <c r="T184" s="6">
        <v>7002.27</v>
      </c>
      <c r="U184" s="2"/>
      <c r="V184" s="7">
        <f t="shared" si="94"/>
        <v>2.9746132032576617E-3</v>
      </c>
      <c r="W184" s="2"/>
      <c r="X184" s="6">
        <f t="shared" si="95"/>
        <v>17139.98</v>
      </c>
      <c r="Y184" s="2"/>
      <c r="Z184" s="7">
        <f t="shared" si="96"/>
        <v>2.4477747930314027</v>
      </c>
    </row>
    <row r="185" spans="1:26" s="28" customFormat="1" outlineLevel="1" collapsed="1" x14ac:dyDescent="0.25">
      <c r="A185" s="27"/>
      <c r="B185" s="14" t="str">
        <f>CONCATENATE("     ","Subscriptions &amp; Dues                              ")</f>
        <v xml:space="preserve">     Subscriptions &amp; Dues                              </v>
      </c>
      <c r="C185" s="14"/>
      <c r="D185" s="1">
        <f>SUM(OSRRefD22_19x_0)</f>
        <v>904.08</v>
      </c>
      <c r="E185" s="1"/>
      <c r="F185" s="5">
        <f t="shared" ref="F185:F187" si="97">IF(D$12=0,0,D185/D$12)</f>
        <v>1.6425163041653584E-3</v>
      </c>
      <c r="G185" s="1"/>
      <c r="H185" s="1">
        <f>SUM(OSRRefH22_19x_0)</f>
        <v>865.32</v>
      </c>
      <c r="I185" s="1"/>
      <c r="J185" s="5">
        <f t="shared" ref="J185:J187" si="98">IF(H$12=0,0,H185/H$12)</f>
        <v>5.4045671252895599E-3</v>
      </c>
      <c r="K185" s="1"/>
      <c r="L185" s="1">
        <f t="shared" ref="L185:L187" si="99">+D185-H185</f>
        <v>38.759999999999991</v>
      </c>
      <c r="M185" s="1"/>
      <c r="N185" s="5">
        <f t="shared" ref="N185:N187" si="100">IF(H185=0,0,L185/H185)</f>
        <v>4.47926778532797E-2</v>
      </c>
      <c r="O185" s="14"/>
      <c r="P185" s="1">
        <f>SUM(OSRRefP22_19x_0)</f>
        <v>956.84</v>
      </c>
      <c r="Q185" s="1"/>
      <c r="R185" s="5">
        <f t="shared" ref="R185:R187" si="101">IF(P$12=0,0,P185/P$12)</f>
        <v>3.336065540934099E-4</v>
      </c>
      <c r="S185" s="1"/>
      <c r="T185" s="1">
        <f>SUM(OSRRefT22_19x_0)</f>
        <v>1649.09</v>
      </c>
      <c r="U185" s="1"/>
      <c r="V185" s="5">
        <f t="shared" ref="V185:V187" si="102">IF(T$12=0,0,T185/T$12)</f>
        <v>7.0054495004622452E-4</v>
      </c>
      <c r="W185" s="1"/>
      <c r="X185" s="1">
        <f t="shared" ref="X185:X187" si="103">+P185-T185</f>
        <v>-692.24999999999989</v>
      </c>
      <c r="Y185" s="1"/>
      <c r="Z185" s="5">
        <f t="shared" ref="Z185:Z187" si="104">IF(T185=0,0,X185/T185)</f>
        <v>-0.41977696790351038</v>
      </c>
    </row>
    <row r="186" spans="1:26" s="24" customFormat="1" hidden="1" outlineLevel="2" x14ac:dyDescent="0.25">
      <c r="A186" s="29"/>
      <c r="B186" s="11" t="str">
        <f>CONCATENATE("          ", "6258", " - ", "MEMBERSHIP DUES")</f>
        <v xml:space="preserve">          6258 - MEMBERSHIP DUES</v>
      </c>
      <c r="C186" s="11"/>
      <c r="D186" s="6">
        <v>904.08</v>
      </c>
      <c r="E186" s="2"/>
      <c r="F186" s="7">
        <f t="shared" si="97"/>
        <v>1.6425163041653584E-3</v>
      </c>
      <c r="G186" s="2"/>
      <c r="H186" s="6">
        <v>790.32</v>
      </c>
      <c r="I186" s="2"/>
      <c r="J186" s="7">
        <f t="shared" si="98"/>
        <v>4.9361363315985358E-3</v>
      </c>
      <c r="K186" s="2"/>
      <c r="L186" s="6">
        <f t="shared" si="99"/>
        <v>113.75999999999999</v>
      </c>
      <c r="M186" s="2"/>
      <c r="N186" s="7">
        <f t="shared" si="100"/>
        <v>0.14394169450349223</v>
      </c>
      <c r="O186" s="11"/>
      <c r="P186" s="6">
        <v>956.84</v>
      </c>
      <c r="Q186" s="2"/>
      <c r="R186" s="7">
        <f t="shared" si="101"/>
        <v>3.336065540934099E-4</v>
      </c>
      <c r="S186" s="2"/>
      <c r="T186" s="6">
        <v>1423.36</v>
      </c>
      <c r="U186" s="2"/>
      <c r="V186" s="7">
        <f t="shared" si="102"/>
        <v>6.0465326943817145E-4</v>
      </c>
      <c r="W186" s="2"/>
      <c r="X186" s="6">
        <f t="shared" si="103"/>
        <v>-466.51999999999987</v>
      </c>
      <c r="Y186" s="2"/>
      <c r="Z186" s="7">
        <f t="shared" si="104"/>
        <v>-0.32775966726618699</v>
      </c>
    </row>
    <row r="187" spans="1:26" s="24" customFormat="1" hidden="1" outlineLevel="2" x14ac:dyDescent="0.25">
      <c r="A187" s="29"/>
      <c r="B187" s="11" t="str">
        <f>CONCATENATE("          ", "6275", " - ", "SUBSCRIPTIONS")</f>
        <v xml:space="preserve">          6275 - SUBSCRIPTIONS</v>
      </c>
      <c r="C187" s="11"/>
      <c r="D187" s="6"/>
      <c r="E187" s="2"/>
      <c r="F187" s="7">
        <f t="shared" si="97"/>
        <v>0</v>
      </c>
      <c r="G187" s="2"/>
      <c r="H187" s="6">
        <v>75</v>
      </c>
      <c r="I187" s="2"/>
      <c r="J187" s="7">
        <f t="shared" si="98"/>
        <v>4.6843079369102408E-4</v>
      </c>
      <c r="K187" s="2"/>
      <c r="L187" s="6">
        <f t="shared" si="99"/>
        <v>-75</v>
      </c>
      <c r="M187" s="2"/>
      <c r="N187" s="7">
        <f t="shared" si="100"/>
        <v>-1</v>
      </c>
      <c r="O187" s="11"/>
      <c r="P187" s="6"/>
      <c r="Q187" s="2"/>
      <c r="R187" s="7">
        <f t="shared" si="101"/>
        <v>0</v>
      </c>
      <c r="S187" s="2"/>
      <c r="T187" s="6">
        <v>225.73</v>
      </c>
      <c r="U187" s="2"/>
      <c r="V187" s="7">
        <f t="shared" si="102"/>
        <v>9.5891680608053092E-5</v>
      </c>
      <c r="W187" s="2"/>
      <c r="X187" s="6">
        <f t="shared" si="103"/>
        <v>-225.73</v>
      </c>
      <c r="Y187" s="2"/>
      <c r="Z187" s="7">
        <f t="shared" si="104"/>
        <v>-1</v>
      </c>
    </row>
    <row r="188" spans="1:26" s="28" customFormat="1" outlineLevel="1" collapsed="1" x14ac:dyDescent="0.25">
      <c r="A188" s="27"/>
      <c r="B188" s="14" t="str">
        <f>CONCATENATE("     ","Supplies                                          ")</f>
        <v xml:space="preserve">     Supplies                                          </v>
      </c>
      <c r="C188" s="14"/>
      <c r="D188" s="1">
        <f>SUM(OSRRefD22_20x_0)</f>
        <v>12244.96</v>
      </c>
      <c r="E188" s="1"/>
      <c r="F188" s="5">
        <f t="shared" ref="F188:F195" si="105">IF(D$12=0,0,D188/D$12)</f>
        <v>2.2246423373874707E-2</v>
      </c>
      <c r="G188" s="1"/>
      <c r="H188" s="1">
        <f>SUM(OSRRefH22_20x_0)</f>
        <v>23208.799999999996</v>
      </c>
      <c r="I188" s="1"/>
      <c r="J188" s="5">
        <f t="shared" ref="J188:J195" si="106">IF(H$12=0,0,H188/H$12)</f>
        <v>0.14495622139488318</v>
      </c>
      <c r="K188" s="1"/>
      <c r="L188" s="1">
        <f t="shared" ref="L188:L195" si="107">+D188-H188</f>
        <v>-10963.839999999997</v>
      </c>
      <c r="M188" s="1"/>
      <c r="N188" s="5">
        <f t="shared" ref="N188:N195" si="108">IF(H188=0,0,L188/H188)</f>
        <v>-0.47240012409086202</v>
      </c>
      <c r="O188" s="14"/>
      <c r="P188" s="1">
        <f>SUM(OSRRefP22_20x_0)</f>
        <v>39831.49</v>
      </c>
      <c r="Q188" s="1"/>
      <c r="R188" s="5">
        <f t="shared" ref="R188:R195" si="109">IF(P$12=0,0,P188/P$12)</f>
        <v>1.388742749394477E-2</v>
      </c>
      <c r="S188" s="1"/>
      <c r="T188" s="1">
        <f>SUM(OSRRefT22_20x_0)</f>
        <v>56598.94</v>
      </c>
      <c r="U188" s="1"/>
      <c r="V188" s="5">
        <f t="shared" ref="V188:V195" si="110">IF(T$12=0,0,T188/T$12)</f>
        <v>2.4043625026511146E-2</v>
      </c>
      <c r="W188" s="1"/>
      <c r="X188" s="1">
        <f t="shared" ref="X188:X195" si="111">+P188-T188</f>
        <v>-16767.450000000004</v>
      </c>
      <c r="Y188" s="1"/>
      <c r="Z188" s="5">
        <f t="shared" ref="Z188:Z195" si="112">IF(T188=0,0,X188/T188)</f>
        <v>-0.29625024779616022</v>
      </c>
    </row>
    <row r="189" spans="1:26" s="24" customFormat="1" hidden="1" outlineLevel="2" x14ac:dyDescent="0.25">
      <c r="A189" s="29"/>
      <c r="B189" s="11" t="str">
        <f>CONCATENATE("          ", "6234", " - ", "EXPENDABLE SUPPLIES &amp; EQUIPMEN")</f>
        <v xml:space="preserve">          6234 - EXPENDABLE SUPPLIES &amp; EQUIPMEN</v>
      </c>
      <c r="C189" s="11"/>
      <c r="D189" s="6">
        <v>2542.41</v>
      </c>
      <c r="E189" s="2"/>
      <c r="F189" s="7">
        <f t="shared" si="105"/>
        <v>4.6190048191233615E-3</v>
      </c>
      <c r="G189" s="2"/>
      <c r="H189" s="6">
        <v>101.34</v>
      </c>
      <c r="I189" s="2"/>
      <c r="J189" s="7">
        <f t="shared" si="106"/>
        <v>6.3294368843531176E-4</v>
      </c>
      <c r="K189" s="2"/>
      <c r="L189" s="6">
        <f t="shared" si="107"/>
        <v>2441.0699999999997</v>
      </c>
      <c r="M189" s="2"/>
      <c r="N189" s="7">
        <f t="shared" si="108"/>
        <v>24.087921847246889</v>
      </c>
      <c r="O189" s="11"/>
      <c r="P189" s="6">
        <v>2542.41</v>
      </c>
      <c r="Q189" s="2"/>
      <c r="R189" s="7">
        <f t="shared" si="109"/>
        <v>8.8642264035013803E-4</v>
      </c>
      <c r="S189" s="2"/>
      <c r="T189" s="6">
        <v>101.34</v>
      </c>
      <c r="U189" s="2"/>
      <c r="V189" s="7">
        <f t="shared" si="110"/>
        <v>4.3049939807823951E-5</v>
      </c>
      <c r="W189" s="2"/>
      <c r="X189" s="6">
        <f t="shared" si="111"/>
        <v>2441.0699999999997</v>
      </c>
      <c r="Y189" s="2"/>
      <c r="Z189" s="7">
        <f t="shared" si="112"/>
        <v>24.087921847246889</v>
      </c>
    </row>
    <row r="190" spans="1:26" s="24" customFormat="1" hidden="1" outlineLevel="2" x14ac:dyDescent="0.25">
      <c r="A190" s="29"/>
      <c r="B190" s="11" t="str">
        <f>CONCATENATE("          ", "6235", " - ", "COVID-19 EXPENSES")</f>
        <v xml:space="preserve">          6235 - COVID-19 EXPENSES</v>
      </c>
      <c r="C190" s="11"/>
      <c r="D190" s="6"/>
      <c r="E190" s="2"/>
      <c r="F190" s="7">
        <f t="shared" si="105"/>
        <v>0</v>
      </c>
      <c r="G190" s="2"/>
      <c r="H190" s="6">
        <v>16805.12</v>
      </c>
      <c r="I190" s="2"/>
      <c r="J190" s="7">
        <f t="shared" si="106"/>
        <v>0.10496047599563869</v>
      </c>
      <c r="K190" s="2"/>
      <c r="L190" s="6">
        <f t="shared" si="107"/>
        <v>-16805.12</v>
      </c>
      <c r="M190" s="2"/>
      <c r="N190" s="7">
        <f t="shared" si="108"/>
        <v>-1</v>
      </c>
      <c r="O190" s="11"/>
      <c r="P190" s="6">
        <v>3430.32</v>
      </c>
      <c r="Q190" s="2"/>
      <c r="R190" s="7">
        <f t="shared" si="109"/>
        <v>1.195996441032676E-3</v>
      </c>
      <c r="S190" s="2"/>
      <c r="T190" s="6">
        <v>25899.79</v>
      </c>
      <c r="U190" s="2"/>
      <c r="V190" s="7">
        <f t="shared" si="110"/>
        <v>1.1002411688723906E-2</v>
      </c>
      <c r="W190" s="2"/>
      <c r="X190" s="6">
        <f t="shared" si="111"/>
        <v>-22469.47</v>
      </c>
      <c r="Y190" s="2"/>
      <c r="Z190" s="7">
        <f t="shared" si="112"/>
        <v>-0.86755413846984863</v>
      </c>
    </row>
    <row r="191" spans="1:26" s="24" customFormat="1" hidden="1" outlineLevel="2" x14ac:dyDescent="0.25">
      <c r="A191" s="29"/>
      <c r="B191" s="11" t="str">
        <f>CONCATENATE("          ", "6237", " - ", "JANITORIAL SUPPLIES")</f>
        <v xml:space="preserve">          6237 - JANITORIAL SUPPLIES</v>
      </c>
      <c r="C191" s="11"/>
      <c r="D191" s="6">
        <v>1303.78</v>
      </c>
      <c r="E191" s="2"/>
      <c r="F191" s="7">
        <f t="shared" si="105"/>
        <v>2.3686840844225187E-3</v>
      </c>
      <c r="G191" s="2"/>
      <c r="H191" s="6">
        <v>1109.05</v>
      </c>
      <c r="I191" s="2"/>
      <c r="J191" s="7">
        <f t="shared" si="106"/>
        <v>6.9268422899070696E-3</v>
      </c>
      <c r="K191" s="2"/>
      <c r="L191" s="6">
        <f t="shared" si="107"/>
        <v>194.73000000000002</v>
      </c>
      <c r="M191" s="2"/>
      <c r="N191" s="7">
        <f t="shared" si="108"/>
        <v>0.17558270591948066</v>
      </c>
      <c r="O191" s="11"/>
      <c r="P191" s="6">
        <v>3376.47</v>
      </c>
      <c r="Q191" s="2"/>
      <c r="R191" s="7">
        <f t="shared" si="109"/>
        <v>1.1772213972030595E-3</v>
      </c>
      <c r="S191" s="2"/>
      <c r="T191" s="6">
        <v>1248.3599999999999</v>
      </c>
      <c r="U191" s="2"/>
      <c r="V191" s="7">
        <f t="shared" si="110"/>
        <v>5.3031204715309947E-4</v>
      </c>
      <c r="W191" s="2"/>
      <c r="X191" s="6">
        <f t="shared" si="111"/>
        <v>2128.1099999999997</v>
      </c>
      <c r="Y191" s="2"/>
      <c r="Z191" s="7">
        <f t="shared" si="112"/>
        <v>1.7047245986734594</v>
      </c>
    </row>
    <row r="192" spans="1:26" s="24" customFormat="1" hidden="1" outlineLevel="2" x14ac:dyDescent="0.25">
      <c r="A192" s="29"/>
      <c r="B192" s="11" t="str">
        <f>CONCATENATE("          ", "6241", " - ", "OFFICE EXPENSE")</f>
        <v xml:space="preserve">          6241 - OFFICE EXPENSE</v>
      </c>
      <c r="C192" s="11"/>
      <c r="D192" s="6">
        <v>990.07</v>
      </c>
      <c r="E192" s="2"/>
      <c r="F192" s="7">
        <f t="shared" si="105"/>
        <v>1.7987413915416736E-3</v>
      </c>
      <c r="G192" s="2"/>
      <c r="H192" s="6">
        <v>330.19</v>
      </c>
      <c r="I192" s="2"/>
      <c r="J192" s="7">
        <f t="shared" si="106"/>
        <v>2.0622821835845234E-3</v>
      </c>
      <c r="K192" s="2"/>
      <c r="L192" s="6">
        <f t="shared" si="107"/>
        <v>659.88000000000011</v>
      </c>
      <c r="M192" s="2"/>
      <c r="N192" s="7">
        <f t="shared" si="108"/>
        <v>1.9984857203428332</v>
      </c>
      <c r="O192" s="11"/>
      <c r="P192" s="6">
        <v>7029.22</v>
      </c>
      <c r="Q192" s="2"/>
      <c r="R192" s="7">
        <f t="shared" si="109"/>
        <v>2.4507690545592562E-3</v>
      </c>
      <c r="S192" s="2"/>
      <c r="T192" s="6">
        <v>7809.68</v>
      </c>
      <c r="U192" s="2"/>
      <c r="V192" s="7">
        <f t="shared" si="110"/>
        <v>3.3176066106016043E-3</v>
      </c>
      <c r="W192" s="2"/>
      <c r="X192" s="6">
        <f t="shared" si="111"/>
        <v>-780.46</v>
      </c>
      <c r="Y192" s="2"/>
      <c r="Z192" s="7">
        <f t="shared" si="112"/>
        <v>-9.9934952520461792E-2</v>
      </c>
    </row>
    <row r="193" spans="1:26" s="24" customFormat="1" hidden="1" outlineLevel="2" x14ac:dyDescent="0.25">
      <c r="A193" s="29"/>
      <c r="B193" s="11" t="str">
        <f>CONCATENATE("          ", "6243", " - ", "PAPER SUPPLIES")</f>
        <v xml:space="preserve">          6243 - PAPER SUPPLIES</v>
      </c>
      <c r="C193" s="11"/>
      <c r="D193" s="6">
        <v>735.87</v>
      </c>
      <c r="E193" s="2"/>
      <c r="F193" s="7">
        <f t="shared" si="105"/>
        <v>1.3369153976928614E-3</v>
      </c>
      <c r="G193" s="2"/>
      <c r="H193" s="6">
        <v>449.01</v>
      </c>
      <c r="I193" s="2"/>
      <c r="J193" s="7">
        <f t="shared" si="106"/>
        <v>2.8044014756694229E-3</v>
      </c>
      <c r="K193" s="2"/>
      <c r="L193" s="6">
        <f t="shared" si="107"/>
        <v>286.86</v>
      </c>
      <c r="M193" s="2"/>
      <c r="N193" s="7">
        <f t="shared" si="108"/>
        <v>0.63887218547471103</v>
      </c>
      <c r="O193" s="11"/>
      <c r="P193" s="6">
        <v>4186.79</v>
      </c>
      <c r="Q193" s="2"/>
      <c r="R193" s="7">
        <f t="shared" si="109"/>
        <v>1.4597430966648002E-3</v>
      </c>
      <c r="S193" s="2"/>
      <c r="T193" s="6">
        <v>3573.7</v>
      </c>
      <c r="U193" s="2"/>
      <c r="V193" s="7">
        <f t="shared" si="110"/>
        <v>1.5181327204580664E-3</v>
      </c>
      <c r="W193" s="2"/>
      <c r="X193" s="6">
        <f t="shared" si="111"/>
        <v>613.09000000000015</v>
      </c>
      <c r="Y193" s="2"/>
      <c r="Z193" s="7">
        <f t="shared" si="112"/>
        <v>0.17155609032655236</v>
      </c>
    </row>
    <row r="194" spans="1:26" s="24" customFormat="1" hidden="1" outlineLevel="2" x14ac:dyDescent="0.25">
      <c r="A194" s="29"/>
      <c r="B194" s="11" t="str">
        <f>CONCATENATE("          ", "6245", " - ", "PRINTING")</f>
        <v xml:space="preserve">          6245 - PRINTING</v>
      </c>
      <c r="C194" s="11"/>
      <c r="D194" s="6">
        <v>296.68</v>
      </c>
      <c r="E194" s="2"/>
      <c r="F194" s="7">
        <f t="shared" si="105"/>
        <v>5.3900289478782685E-4</v>
      </c>
      <c r="G194" s="2"/>
      <c r="H194" s="6">
        <v>353.09</v>
      </c>
      <c r="I194" s="2"/>
      <c r="J194" s="7">
        <f t="shared" si="106"/>
        <v>2.2053097192581824E-3</v>
      </c>
      <c r="K194" s="2"/>
      <c r="L194" s="6">
        <f t="shared" si="107"/>
        <v>-56.409999999999968</v>
      </c>
      <c r="M194" s="2"/>
      <c r="N194" s="7">
        <f t="shared" si="108"/>
        <v>-0.15976096745872148</v>
      </c>
      <c r="O194" s="11"/>
      <c r="P194" s="6">
        <v>-27.07</v>
      </c>
      <c r="Q194" s="2"/>
      <c r="R194" s="7">
        <f t="shared" si="109"/>
        <v>-9.4380768146279465E-6</v>
      </c>
      <c r="S194" s="2"/>
      <c r="T194" s="6">
        <v>414.55</v>
      </c>
      <c r="U194" s="2"/>
      <c r="V194" s="7">
        <f t="shared" si="110"/>
        <v>1.7610373541872331E-4</v>
      </c>
      <c r="W194" s="2"/>
      <c r="X194" s="6">
        <f t="shared" si="111"/>
        <v>-441.62</v>
      </c>
      <c r="Y194" s="2"/>
      <c r="Z194" s="7">
        <f t="shared" si="112"/>
        <v>-1.065299722590761</v>
      </c>
    </row>
    <row r="195" spans="1:26" s="24" customFormat="1" hidden="1" outlineLevel="2" x14ac:dyDescent="0.25">
      <c r="A195" s="29"/>
      <c r="B195" s="11" t="str">
        <f>CONCATENATE("          ", "6247", " - ", "STORE SUPPLIES")</f>
        <v xml:space="preserve">          6247 - STORE SUPPLIES</v>
      </c>
      <c r="C195" s="11"/>
      <c r="D195" s="6">
        <v>6376.15</v>
      </c>
      <c r="E195" s="2"/>
      <c r="F195" s="7">
        <f t="shared" si="105"/>
        <v>1.1584074786306464E-2</v>
      </c>
      <c r="G195" s="2"/>
      <c r="H195" s="6">
        <v>4061</v>
      </c>
      <c r="I195" s="2"/>
      <c r="J195" s="7">
        <f t="shared" si="106"/>
        <v>2.5363966042389986E-2</v>
      </c>
      <c r="K195" s="2"/>
      <c r="L195" s="6">
        <f t="shared" si="107"/>
        <v>2315.1499999999996</v>
      </c>
      <c r="M195" s="2"/>
      <c r="N195" s="7">
        <f t="shared" si="108"/>
        <v>0.57009357301157337</v>
      </c>
      <c r="O195" s="11"/>
      <c r="P195" s="6">
        <v>19293.349999999999</v>
      </c>
      <c r="Q195" s="2"/>
      <c r="R195" s="7">
        <f t="shared" si="109"/>
        <v>6.7267129409494678E-3</v>
      </c>
      <c r="S195" s="2"/>
      <c r="T195" s="6">
        <v>17551.52</v>
      </c>
      <c r="U195" s="2"/>
      <c r="V195" s="7">
        <f t="shared" si="110"/>
        <v>7.4560082843479203E-3</v>
      </c>
      <c r="W195" s="2"/>
      <c r="X195" s="6">
        <f t="shared" si="111"/>
        <v>1741.8299999999981</v>
      </c>
      <c r="Y195" s="2"/>
      <c r="Z195" s="7">
        <f t="shared" si="112"/>
        <v>9.9240977419619389E-2</v>
      </c>
    </row>
    <row r="196" spans="1:26" s="28" customFormat="1" outlineLevel="1" collapsed="1" x14ac:dyDescent="0.25">
      <c r="A196" s="27"/>
      <c r="B196" s="14" t="str">
        <f>CONCATENATE("     ","Telephone/Data Lines                              ")</f>
        <v xml:space="preserve">     Telephone/Data Lines                              </v>
      </c>
      <c r="C196" s="14"/>
      <c r="D196" s="1">
        <f>SUM(OSRRefD22_21x_0)</f>
        <v>2403.89</v>
      </c>
      <c r="E196" s="1"/>
      <c r="F196" s="5">
        <f t="shared" ref="F196:F198" si="113">IF(D$12=0,0,D196/D$12)</f>
        <v>4.3673441713344644E-3</v>
      </c>
      <c r="G196" s="1"/>
      <c r="H196" s="1">
        <f>SUM(OSRRefH22_21x_0)</f>
        <v>849.33</v>
      </c>
      <c r="I196" s="1"/>
      <c r="J196" s="5">
        <f t="shared" ref="J196:J198" si="114">IF(H$12=0,0,H196/H$12)</f>
        <v>5.3046976800746335E-3</v>
      </c>
      <c r="K196" s="1"/>
      <c r="L196" s="1">
        <f t="shared" ref="L196:L198" si="115">+D196-H196</f>
        <v>1554.56</v>
      </c>
      <c r="M196" s="1"/>
      <c r="N196" s="5">
        <f t="shared" ref="N196:N198" si="116">IF(H196=0,0,L196/H196)</f>
        <v>1.8303368537553129</v>
      </c>
      <c r="O196" s="14"/>
      <c r="P196" s="1">
        <f>SUM(OSRRefP22_21x_0)</f>
        <v>7621.71</v>
      </c>
      <c r="Q196" s="1"/>
      <c r="R196" s="5">
        <f t="shared" ref="R196:R198" si="117">IF(P$12=0,0,P196/P$12)</f>
        <v>2.6573433483124483E-3</v>
      </c>
      <c r="S196" s="1"/>
      <c r="T196" s="1">
        <f>SUM(OSRRefT22_21x_0)</f>
        <v>10380.120000000001</v>
      </c>
      <c r="U196" s="1"/>
      <c r="V196" s="5">
        <f t="shared" ref="V196:V198" si="118">IF(T$12=0,0,T196/T$12)</f>
        <v>4.4095474758041207E-3</v>
      </c>
      <c r="W196" s="1"/>
      <c r="X196" s="1">
        <f t="shared" ref="X196:X198" si="119">+P196-T196</f>
        <v>-2758.4100000000008</v>
      </c>
      <c r="Y196" s="1"/>
      <c r="Z196" s="5">
        <f t="shared" ref="Z196:Z198" si="120">IF(T196=0,0,X196/T196)</f>
        <v>-0.26573970243118583</v>
      </c>
    </row>
    <row r="197" spans="1:26" s="24" customFormat="1" hidden="1" outlineLevel="2" x14ac:dyDescent="0.25">
      <c r="A197" s="29"/>
      <c r="B197" s="11" t="str">
        <f>CONCATENATE("          ", "6303", " - ", "DATA PHONE LINES")</f>
        <v xml:space="preserve">          6303 - DATA PHONE LINES</v>
      </c>
      <c r="C197" s="11"/>
      <c r="D197" s="6"/>
      <c r="E197" s="2"/>
      <c r="F197" s="7">
        <f t="shared" si="113"/>
        <v>0</v>
      </c>
      <c r="G197" s="2"/>
      <c r="H197" s="6"/>
      <c r="I197" s="2"/>
      <c r="J197" s="7">
        <f t="shared" si="114"/>
        <v>0</v>
      </c>
      <c r="K197" s="2"/>
      <c r="L197" s="6">
        <f t="shared" si="115"/>
        <v>0</v>
      </c>
      <c r="M197" s="2"/>
      <c r="N197" s="7">
        <f t="shared" si="116"/>
        <v>0</v>
      </c>
      <c r="O197" s="11"/>
      <c r="P197" s="6">
        <v>295</v>
      </c>
      <c r="Q197" s="2"/>
      <c r="R197" s="7">
        <f t="shared" si="117"/>
        <v>1.0285307204710914E-4</v>
      </c>
      <c r="S197" s="2"/>
      <c r="T197" s="6">
        <v>1180</v>
      </c>
      <c r="U197" s="2"/>
      <c r="V197" s="7">
        <f t="shared" si="118"/>
        <v>5.0127224169362798E-4</v>
      </c>
      <c r="W197" s="2"/>
      <c r="X197" s="6">
        <f t="shared" si="119"/>
        <v>-885</v>
      </c>
      <c r="Y197" s="2"/>
      <c r="Z197" s="7">
        <f t="shared" si="120"/>
        <v>-0.75</v>
      </c>
    </row>
    <row r="198" spans="1:26" s="24" customFormat="1" hidden="1" outlineLevel="2" x14ac:dyDescent="0.25">
      <c r="A198" s="29"/>
      <c r="B198" s="11" t="str">
        <f>CONCATENATE("          ", "6309", " - ", "TELEPHONE")</f>
        <v xml:space="preserve">          6309 - TELEPHONE</v>
      </c>
      <c r="C198" s="11"/>
      <c r="D198" s="6">
        <v>2403.89</v>
      </c>
      <c r="E198" s="2"/>
      <c r="F198" s="7">
        <f t="shared" si="113"/>
        <v>4.3673441713344644E-3</v>
      </c>
      <c r="G198" s="2"/>
      <c r="H198" s="6">
        <v>849.33</v>
      </c>
      <c r="I198" s="2"/>
      <c r="J198" s="7">
        <f t="shared" si="114"/>
        <v>5.3046976800746335E-3</v>
      </c>
      <c r="K198" s="2"/>
      <c r="L198" s="6">
        <f t="shared" si="115"/>
        <v>1554.56</v>
      </c>
      <c r="M198" s="2"/>
      <c r="N198" s="7">
        <f t="shared" si="116"/>
        <v>1.8303368537553129</v>
      </c>
      <c r="O198" s="11"/>
      <c r="P198" s="6">
        <v>7326.71</v>
      </c>
      <c r="Q198" s="2"/>
      <c r="R198" s="7">
        <f t="shared" si="117"/>
        <v>2.5544902762653391E-3</v>
      </c>
      <c r="S198" s="2"/>
      <c r="T198" s="6">
        <v>9200.1200000000008</v>
      </c>
      <c r="U198" s="2"/>
      <c r="V198" s="7">
        <f t="shared" si="118"/>
        <v>3.9082752341104924E-3</v>
      </c>
      <c r="W198" s="2"/>
      <c r="X198" s="6">
        <f t="shared" si="119"/>
        <v>-1873.4100000000008</v>
      </c>
      <c r="Y198" s="2"/>
      <c r="Z198" s="7">
        <f t="shared" si="120"/>
        <v>-0.20362886571044733</v>
      </c>
    </row>
    <row r="199" spans="1:26" s="28" customFormat="1" outlineLevel="1" collapsed="1" x14ac:dyDescent="0.25">
      <c r="A199" s="27"/>
      <c r="B199" s="14" t="str">
        <f>CONCATENATE("     ","Training                                          ")</f>
        <v xml:space="preserve">     Training                                          </v>
      </c>
      <c r="C199" s="14"/>
      <c r="D199" s="1">
        <f>SUM(OSRRefD22_22x_0)</f>
        <v>0</v>
      </c>
      <c r="E199" s="1"/>
      <c r="F199" s="5">
        <f t="shared" ref="F199:F204" si="121">IF(D$12=0,0,D199/D$12)</f>
        <v>0</v>
      </c>
      <c r="G199" s="1"/>
      <c r="H199" s="1">
        <f>SUM(OSRRefH22_22x_0)</f>
        <v>14</v>
      </c>
      <c r="I199" s="1"/>
      <c r="J199" s="5">
        <f t="shared" ref="J199:J204" si="122">IF(H$12=0,0,H199/H$12)</f>
        <v>8.7440414822324497E-5</v>
      </c>
      <c r="K199" s="1"/>
      <c r="L199" s="1">
        <f t="shared" ref="L199:L204" si="123">+D199-H199</f>
        <v>-14</v>
      </c>
      <c r="M199" s="1"/>
      <c r="N199" s="5">
        <f t="shared" ref="N199:N204" si="124">IF(H199=0,0,L199/H199)</f>
        <v>-1</v>
      </c>
      <c r="O199" s="14"/>
      <c r="P199" s="1">
        <f>SUM(OSRRefP22_22x_0)</f>
        <v>595</v>
      </c>
      <c r="Q199" s="1"/>
      <c r="R199" s="5">
        <f t="shared" ref="R199:R204" si="125">IF(P$12=0,0,P199/P$12)</f>
        <v>2.0744941650179639E-4</v>
      </c>
      <c r="S199" s="1"/>
      <c r="T199" s="1">
        <f>SUM(OSRRefT22_22x_0)</f>
        <v>145.63</v>
      </c>
      <c r="U199" s="1"/>
      <c r="V199" s="5">
        <f t="shared" ref="V199:V204" si="126">IF(T$12=0,0,T199/T$12)</f>
        <v>6.1864641150714445E-5</v>
      </c>
      <c r="W199" s="1"/>
      <c r="X199" s="1">
        <f t="shared" ref="X199:X204" si="127">+P199-T199</f>
        <v>449.37</v>
      </c>
      <c r="Y199" s="1"/>
      <c r="Z199" s="5">
        <f t="shared" ref="Z199:Z204" si="128">IF(T199=0,0,X199/T199)</f>
        <v>3.085696628441942</v>
      </c>
    </row>
    <row r="200" spans="1:26" s="24" customFormat="1" hidden="1" outlineLevel="2" x14ac:dyDescent="0.25">
      <c r="A200" s="29"/>
      <c r="B200" s="11" t="str">
        <f>CONCATENATE("          ", "6376", " - ", "TRAINING")</f>
        <v xml:space="preserve">          6376 - TRAINING</v>
      </c>
      <c r="C200" s="11"/>
      <c r="D200" s="6"/>
      <c r="E200" s="2"/>
      <c r="F200" s="7">
        <f t="shared" si="121"/>
        <v>0</v>
      </c>
      <c r="G200" s="2"/>
      <c r="H200" s="6">
        <v>14</v>
      </c>
      <c r="I200" s="2"/>
      <c r="J200" s="7">
        <f t="shared" si="122"/>
        <v>8.7440414822324497E-5</v>
      </c>
      <c r="K200" s="2"/>
      <c r="L200" s="6">
        <f t="shared" si="123"/>
        <v>-14</v>
      </c>
      <c r="M200" s="2"/>
      <c r="N200" s="7">
        <f t="shared" si="124"/>
        <v>-1</v>
      </c>
      <c r="O200" s="11"/>
      <c r="P200" s="6">
        <v>595</v>
      </c>
      <c r="Q200" s="2"/>
      <c r="R200" s="7">
        <f t="shared" si="125"/>
        <v>2.0744941650179639E-4</v>
      </c>
      <c r="S200" s="2"/>
      <c r="T200" s="6">
        <v>145.63</v>
      </c>
      <c r="U200" s="2"/>
      <c r="V200" s="7">
        <f t="shared" si="126"/>
        <v>6.1864641150714445E-5</v>
      </c>
      <c r="W200" s="2"/>
      <c r="X200" s="6">
        <f t="shared" si="127"/>
        <v>449.37</v>
      </c>
      <c r="Y200" s="2"/>
      <c r="Z200" s="7">
        <f t="shared" si="128"/>
        <v>3.085696628441942</v>
      </c>
    </row>
    <row r="201" spans="1:26" s="28" customFormat="1" outlineLevel="1" collapsed="1" x14ac:dyDescent="0.25">
      <c r="A201" s="27"/>
      <c r="B201" s="14" t="str">
        <f>CONCATENATE("     ","Travel                                            ")</f>
        <v xml:space="preserve">     Travel                                            </v>
      </c>
      <c r="C201" s="14"/>
      <c r="D201" s="1">
        <f>SUM(OSRRefD22_23x_0)</f>
        <v>50</v>
      </c>
      <c r="E201" s="1"/>
      <c r="F201" s="5">
        <f t="shared" si="121"/>
        <v>9.0839101858538967E-5</v>
      </c>
      <c r="G201" s="1"/>
      <c r="H201" s="1">
        <f>SUM(OSRRefH22_23x_0)</f>
        <v>80.959999999999994</v>
      </c>
      <c r="I201" s="1"/>
      <c r="J201" s="5">
        <f t="shared" si="122"/>
        <v>5.056554274296708E-4</v>
      </c>
      <c r="K201" s="1"/>
      <c r="L201" s="1">
        <f t="shared" si="123"/>
        <v>-30.959999999999994</v>
      </c>
      <c r="M201" s="1"/>
      <c r="N201" s="5">
        <f t="shared" si="124"/>
        <v>-0.38241106719367585</v>
      </c>
      <c r="O201" s="14"/>
      <c r="P201" s="1">
        <f>SUM(OSRRefP22_23x_0)</f>
        <v>760.53</v>
      </c>
      <c r="Q201" s="1"/>
      <c r="R201" s="5">
        <f t="shared" si="125"/>
        <v>2.6516219282707765E-4</v>
      </c>
      <c r="S201" s="1"/>
      <c r="T201" s="1">
        <f>SUM(OSRRefT22_23x_0)</f>
        <v>381.93</v>
      </c>
      <c r="U201" s="1"/>
      <c r="V201" s="5">
        <f t="shared" si="126"/>
        <v>1.6224653158478588E-4</v>
      </c>
      <c r="W201" s="1"/>
      <c r="X201" s="1">
        <f t="shared" si="127"/>
        <v>378.59999999999997</v>
      </c>
      <c r="Y201" s="1"/>
      <c r="Z201" s="5">
        <f t="shared" si="128"/>
        <v>0.99128112481344743</v>
      </c>
    </row>
    <row r="202" spans="1:26" s="24" customFormat="1" hidden="1" outlineLevel="2" x14ac:dyDescent="0.25">
      <c r="A202" s="29"/>
      <c r="B202" s="11" t="str">
        <f>CONCATENATE("          ", "6292", " - ", "TRAVEL/CONFERENCE")</f>
        <v xml:space="preserve">          6292 - TRAVEL/CONFERENCE</v>
      </c>
      <c r="C202" s="11"/>
      <c r="D202" s="6"/>
      <c r="E202" s="2"/>
      <c r="F202" s="7">
        <f t="shared" si="121"/>
        <v>0</v>
      </c>
      <c r="G202" s="2"/>
      <c r="H202" s="6"/>
      <c r="I202" s="2"/>
      <c r="J202" s="7">
        <f t="shared" si="122"/>
        <v>0</v>
      </c>
      <c r="K202" s="2"/>
      <c r="L202" s="6">
        <f t="shared" si="123"/>
        <v>0</v>
      </c>
      <c r="M202" s="2"/>
      <c r="N202" s="7">
        <f t="shared" si="124"/>
        <v>0</v>
      </c>
      <c r="O202" s="11"/>
      <c r="P202" s="6">
        <v>495</v>
      </c>
      <c r="Q202" s="2"/>
      <c r="R202" s="7">
        <f t="shared" si="125"/>
        <v>1.7258396835023398E-4</v>
      </c>
      <c r="S202" s="2"/>
      <c r="T202" s="6">
        <v>0.16</v>
      </c>
      <c r="U202" s="2"/>
      <c r="V202" s="7">
        <f t="shared" si="126"/>
        <v>6.7969117517780076E-8</v>
      </c>
      <c r="W202" s="2"/>
      <c r="X202" s="6">
        <f t="shared" si="127"/>
        <v>494.84</v>
      </c>
      <c r="Y202" s="2"/>
      <c r="Z202" s="7">
        <f t="shared" si="128"/>
        <v>3092.75</v>
      </c>
    </row>
    <row r="203" spans="1:26" s="24" customFormat="1" hidden="1" outlineLevel="2" x14ac:dyDescent="0.25">
      <c r="A203" s="29"/>
      <c r="B203" s="11" t="str">
        <f>CONCATENATE("          ", "6294", " - ", "TRAVEL OPERATIONAL")</f>
        <v xml:space="preserve">          6294 - TRAVEL OPERATIONAL</v>
      </c>
      <c r="C203" s="11"/>
      <c r="D203" s="6"/>
      <c r="E203" s="2"/>
      <c r="F203" s="7">
        <f t="shared" si="121"/>
        <v>0</v>
      </c>
      <c r="G203" s="2"/>
      <c r="H203" s="6">
        <v>80.959999999999994</v>
      </c>
      <c r="I203" s="2"/>
      <c r="J203" s="7">
        <f t="shared" si="122"/>
        <v>5.056554274296708E-4</v>
      </c>
      <c r="K203" s="2"/>
      <c r="L203" s="6">
        <f t="shared" si="123"/>
        <v>-80.959999999999994</v>
      </c>
      <c r="M203" s="2"/>
      <c r="N203" s="7">
        <f t="shared" si="124"/>
        <v>-1</v>
      </c>
      <c r="O203" s="11"/>
      <c r="P203" s="6">
        <v>215.53</v>
      </c>
      <c r="Q203" s="2"/>
      <c r="R203" s="7">
        <f t="shared" si="125"/>
        <v>7.5145500401062478E-5</v>
      </c>
      <c r="S203" s="2"/>
      <c r="T203" s="6">
        <v>321.88</v>
      </c>
      <c r="U203" s="2"/>
      <c r="V203" s="7">
        <f t="shared" si="126"/>
        <v>1.3673687216639405E-4</v>
      </c>
      <c r="W203" s="2"/>
      <c r="X203" s="6">
        <f t="shared" si="127"/>
        <v>-106.35</v>
      </c>
      <c r="Y203" s="2"/>
      <c r="Z203" s="7">
        <f t="shared" si="128"/>
        <v>-0.33040263452218216</v>
      </c>
    </row>
    <row r="204" spans="1:26" s="24" customFormat="1" hidden="1" outlineLevel="2" x14ac:dyDescent="0.25">
      <c r="A204" s="29"/>
      <c r="B204" s="11" t="str">
        <f>CONCATENATE("          ", "6298", " - ", "VEHICLE MILEAGE")</f>
        <v xml:space="preserve">          6298 - VEHICLE MILEAGE</v>
      </c>
      <c r="C204" s="11"/>
      <c r="D204" s="6">
        <v>50</v>
      </c>
      <c r="E204" s="2"/>
      <c r="F204" s="7">
        <f t="shared" si="121"/>
        <v>9.0839101858538967E-5</v>
      </c>
      <c r="G204" s="2"/>
      <c r="H204" s="6"/>
      <c r="I204" s="2"/>
      <c r="J204" s="7">
        <f t="shared" si="122"/>
        <v>0</v>
      </c>
      <c r="K204" s="2"/>
      <c r="L204" s="6">
        <f t="shared" si="123"/>
        <v>50</v>
      </c>
      <c r="M204" s="2"/>
      <c r="N204" s="7">
        <f t="shared" si="124"/>
        <v>0</v>
      </c>
      <c r="O204" s="11"/>
      <c r="P204" s="6">
        <v>50</v>
      </c>
      <c r="Q204" s="2"/>
      <c r="R204" s="7">
        <f t="shared" si="125"/>
        <v>1.7432724075781211E-5</v>
      </c>
      <c r="S204" s="2"/>
      <c r="T204" s="6">
        <v>59.89</v>
      </c>
      <c r="U204" s="2"/>
      <c r="V204" s="7">
        <f t="shared" si="126"/>
        <v>2.5441690300874051E-5</v>
      </c>
      <c r="W204" s="2"/>
      <c r="X204" s="6">
        <f t="shared" si="127"/>
        <v>-9.89</v>
      </c>
      <c r="Y204" s="2"/>
      <c r="Z204" s="7">
        <f t="shared" si="128"/>
        <v>-0.16513608281850059</v>
      </c>
    </row>
    <row r="205" spans="1:26" s="28" customFormat="1" outlineLevel="1" collapsed="1" x14ac:dyDescent="0.25">
      <c r="A205" s="27"/>
      <c r="B205" s="14" t="str">
        <f>CONCATENATE("     ","Utilities                                         ")</f>
        <v xml:space="preserve">     Utilities                                         </v>
      </c>
      <c r="C205" s="14"/>
      <c r="D205" s="1">
        <f>SUM(OSRRefD22_24x_0)</f>
        <v>6038.6</v>
      </c>
      <c r="E205" s="1"/>
      <c r="F205" s="5">
        <f t="shared" ref="F205:F206" si="129">IF(D$12=0,0,D205/D$12)</f>
        <v>1.097082000965947E-2</v>
      </c>
      <c r="G205" s="1"/>
      <c r="H205" s="1">
        <f>SUM(OSRRefH22_24x_0)</f>
        <v>5953.05</v>
      </c>
      <c r="I205" s="1"/>
      <c r="J205" s="5">
        <f t="shared" ref="J205:J206" si="130">IF(H$12=0,0,H205/H$12)</f>
        <v>3.7181225818431349E-2</v>
      </c>
      <c r="K205" s="1"/>
      <c r="L205" s="1">
        <f t="shared" ref="L205:L206" si="131">+D205-H205</f>
        <v>85.550000000000182</v>
      </c>
      <c r="M205" s="1"/>
      <c r="N205" s="5">
        <f t="shared" ref="N205:N206" si="132">IF(H205=0,0,L205/H205)</f>
        <v>1.4370784723797075E-2</v>
      </c>
      <c r="O205" s="14"/>
      <c r="P205" s="1">
        <f>SUM(OSRRefP22_24x_0)</f>
        <v>24149.98</v>
      </c>
      <c r="Q205" s="1"/>
      <c r="R205" s="5">
        <f t="shared" ref="R205:R206" si="133">IF(P$12=0,0,P205/P$12)</f>
        <v>8.4199987555126938E-3</v>
      </c>
      <c r="S205" s="1"/>
      <c r="T205" s="1">
        <f>SUM(OSRRefT22_24x_0)</f>
        <v>24435.43</v>
      </c>
      <c r="U205" s="1"/>
      <c r="V205" s="5">
        <f t="shared" ref="V205:V206" si="134">IF(T$12=0,0,T205/T$12)</f>
        <v>1.0380341332921804E-2</v>
      </c>
      <c r="W205" s="1"/>
      <c r="X205" s="1">
        <f t="shared" ref="X205:X206" si="135">+P205-T205</f>
        <v>-285.45000000000073</v>
      </c>
      <c r="Y205" s="1"/>
      <c r="Z205" s="5">
        <f t="shared" ref="Z205:Z206" si="136">IF(T205=0,0,X205/T205)</f>
        <v>-1.1681807932170652E-2</v>
      </c>
    </row>
    <row r="206" spans="1:26" s="24" customFormat="1" hidden="1" outlineLevel="2" x14ac:dyDescent="0.25">
      <c r="A206" s="29"/>
      <c r="B206" s="11" t="str">
        <f>CONCATENATE("          ", "6274", " - ", "UTILITIES")</f>
        <v xml:space="preserve">          6274 - UTILITIES</v>
      </c>
      <c r="C206" s="11"/>
      <c r="D206" s="6">
        <v>6038.6</v>
      </c>
      <c r="E206" s="2"/>
      <c r="F206" s="7">
        <f t="shared" si="129"/>
        <v>1.097082000965947E-2</v>
      </c>
      <c r="G206" s="2"/>
      <c r="H206" s="6">
        <v>5953.05</v>
      </c>
      <c r="I206" s="2"/>
      <c r="J206" s="7">
        <f t="shared" si="130"/>
        <v>3.7181225818431349E-2</v>
      </c>
      <c r="K206" s="2"/>
      <c r="L206" s="6">
        <f t="shared" si="131"/>
        <v>85.550000000000182</v>
      </c>
      <c r="M206" s="2"/>
      <c r="N206" s="7">
        <f t="shared" si="132"/>
        <v>1.4370784723797075E-2</v>
      </c>
      <c r="O206" s="11"/>
      <c r="P206" s="6">
        <v>24149.98</v>
      </c>
      <c r="Q206" s="2"/>
      <c r="R206" s="7">
        <f t="shared" si="133"/>
        <v>8.4199987555126938E-3</v>
      </c>
      <c r="S206" s="2"/>
      <c r="T206" s="6">
        <v>24435.43</v>
      </c>
      <c r="U206" s="2"/>
      <c r="V206" s="7">
        <f t="shared" si="134"/>
        <v>1.0380341332921804E-2</v>
      </c>
      <c r="W206" s="2"/>
      <c r="X206" s="6">
        <f t="shared" si="135"/>
        <v>-285.45000000000073</v>
      </c>
      <c r="Y206" s="2"/>
      <c r="Z206" s="7">
        <f t="shared" si="136"/>
        <v>-1.1681807932170652E-2</v>
      </c>
    </row>
    <row r="207" spans="1:26" s="56" customFormat="1" x14ac:dyDescent="0.25">
      <c r="A207" s="37"/>
      <c r="B207" s="37"/>
      <c r="C207" s="37"/>
      <c r="D207" s="1"/>
      <c r="E207" s="1"/>
      <c r="F207" s="5"/>
      <c r="G207" s="1"/>
      <c r="H207" s="1"/>
      <c r="I207" s="1"/>
      <c r="J207" s="5"/>
      <c r="K207" s="1"/>
      <c r="L207" s="1"/>
      <c r="M207" s="1"/>
      <c r="N207" s="5"/>
      <c r="O207" s="37"/>
      <c r="P207" s="1"/>
      <c r="Q207" s="1"/>
      <c r="R207" s="5"/>
      <c r="S207" s="1"/>
      <c r="T207" s="1"/>
      <c r="U207" s="1"/>
      <c r="V207" s="5"/>
      <c r="W207" s="1"/>
      <c r="X207" s="1"/>
      <c r="Y207" s="1"/>
      <c r="Z207" s="5"/>
    </row>
    <row r="208" spans="1:26" s="23" customFormat="1" collapsed="1" x14ac:dyDescent="0.25">
      <c r="A208" s="10"/>
      <c r="B208" s="25" t="s">
        <v>292</v>
      </c>
      <c r="C208" s="10"/>
      <c r="D208" s="4">
        <f>SUM(OSRRefD25x_0)</f>
        <v>38787.699999999997</v>
      </c>
      <c r="E208" s="4"/>
      <c r="F208" s="12">
        <f t="shared" ref="F208:F212" si="137">IF(D$12=0,0,D208/D$12)</f>
        <v>7.046879662316903E-2</v>
      </c>
      <c r="G208" s="4"/>
      <c r="H208" s="4">
        <f>SUM(OSRRefH25x_0)</f>
        <v>30589.780000000002</v>
      </c>
      <c r="I208" s="4"/>
      <c r="J208" s="12">
        <f t="shared" ref="J208:J212" si="138">IF(H$12=0,0,H208/H$12)</f>
        <v>0.19105593232311754</v>
      </c>
      <c r="K208" s="4"/>
      <c r="L208" s="4">
        <f t="shared" ref="L208:L212" si="139">+D208-H208</f>
        <v>8197.9199999999946</v>
      </c>
      <c r="M208" s="4"/>
      <c r="N208" s="12">
        <f t="shared" ref="N208:N212" si="140">IF(H208=0,0,L208/H208)</f>
        <v>0.26799538930976274</v>
      </c>
      <c r="O208" s="10"/>
      <c r="P208" s="4">
        <f>SUM(OSRRefP25x_0)</f>
        <v>401638.98</v>
      </c>
      <c r="Q208" s="4"/>
      <c r="R208" s="12">
        <f t="shared" ref="R208:R212" si="141">IF(P$12=0,0,P208/P$12)</f>
        <v>0.14003323032836415</v>
      </c>
      <c r="S208" s="4"/>
      <c r="T208" s="4">
        <f>SUM(OSRRefT25x_0)</f>
        <v>451995.42000000004</v>
      </c>
      <c r="U208" s="4"/>
      <c r="V208" s="12">
        <f t="shared" ref="V208:V212" si="142">IF(T$12=0,0,T208/T$12)</f>
        <v>0.19201081137173975</v>
      </c>
      <c r="W208" s="4"/>
      <c r="X208" s="4">
        <f t="shared" ref="X208:X212" si="143">+P208-T208</f>
        <v>-50356.440000000061</v>
      </c>
      <c r="Y208" s="4"/>
      <c r="Z208" s="12">
        <f t="shared" ref="Z208:Z212" si="144">IF(T208=0,0,X208/T208)</f>
        <v>-0.1114091819779945</v>
      </c>
    </row>
    <row r="209" spans="1:26" s="24" customFormat="1" hidden="1" outlineLevel="1" x14ac:dyDescent="0.25">
      <c r="A209" s="44"/>
      <c r="B209" s="11" t="str">
        <f>CONCATENATE("          ", "9150", " - ", "MISC. INCOME")</f>
        <v xml:space="preserve">          9150 - MISC. INCOME</v>
      </c>
      <c r="C209" s="11"/>
      <c r="D209" s="2">
        <f>--28793.44</f>
        <v>28793.439999999999</v>
      </c>
      <c r="E209" s="2"/>
      <c r="F209" s="19">
        <f t="shared" si="137"/>
        <v>5.2311404580354603E-2</v>
      </c>
      <c r="G209" s="2"/>
      <c r="H209" s="2">
        <f>--30327.7</f>
        <v>30327.7</v>
      </c>
      <c r="I209" s="2"/>
      <c r="J209" s="19">
        <f t="shared" si="138"/>
        <v>0.18941904775764362</v>
      </c>
      <c r="K209" s="2"/>
      <c r="L209" s="2">
        <f t="shared" si="139"/>
        <v>-1534.260000000002</v>
      </c>
      <c r="M209" s="2"/>
      <c r="N209" s="19">
        <f t="shared" si="140"/>
        <v>-5.0589395173389409E-2</v>
      </c>
      <c r="O209" s="11"/>
      <c r="P209" s="2">
        <f>--158232.01</f>
        <v>158232.01</v>
      </c>
      <c r="Q209" s="2"/>
      <c r="R209" s="19">
        <f t="shared" si="141"/>
        <v>5.5168299405725069E-2</v>
      </c>
      <c r="S209" s="2"/>
      <c r="T209" s="2">
        <f>--141695.11</f>
        <v>141695.10999999999</v>
      </c>
      <c r="U209" s="2"/>
      <c r="V209" s="19">
        <f t="shared" si="142"/>
        <v>6.0193072395529831E-2</v>
      </c>
      <c r="W209" s="2"/>
      <c r="X209" s="2">
        <f t="shared" si="143"/>
        <v>16536.900000000023</v>
      </c>
      <c r="Y209" s="2"/>
      <c r="Z209" s="19">
        <f t="shared" si="144"/>
        <v>0.11670762667815442</v>
      </c>
    </row>
    <row r="210" spans="1:26" s="24" customFormat="1" hidden="1" outlineLevel="1" x14ac:dyDescent="0.25">
      <c r="A210" s="44"/>
      <c r="B210" s="11" t="str">
        <f>CONCATENATE("          ", "9151", " - ", "MISC. INCOME")</f>
        <v xml:space="preserve">          9151 - MISC. INCOME</v>
      </c>
      <c r="C210" s="11"/>
      <c r="D210" s="2">
        <f>0</f>
        <v>0</v>
      </c>
      <c r="E210" s="2"/>
      <c r="F210" s="19">
        <f t="shared" si="137"/>
        <v>0</v>
      </c>
      <c r="G210" s="2"/>
      <c r="H210" s="2">
        <f>0</f>
        <v>0</v>
      </c>
      <c r="I210" s="2"/>
      <c r="J210" s="19">
        <f t="shared" si="138"/>
        <v>0</v>
      </c>
      <c r="K210" s="2"/>
      <c r="L210" s="2">
        <f t="shared" si="139"/>
        <v>0</v>
      </c>
      <c r="M210" s="2"/>
      <c r="N210" s="19">
        <f t="shared" si="140"/>
        <v>0</v>
      </c>
      <c r="O210" s="11"/>
      <c r="P210" s="2">
        <f>--168463.36</f>
        <v>168463.35999999999</v>
      </c>
      <c r="Q210" s="2"/>
      <c r="R210" s="19">
        <f t="shared" si="141"/>
        <v>5.8735505435179941E-2</v>
      </c>
      <c r="S210" s="2"/>
      <c r="T210" s="2">
        <f>--147285.39</f>
        <v>147285.39000000001</v>
      </c>
      <c r="U210" s="2"/>
      <c r="V210" s="19">
        <f t="shared" si="142"/>
        <v>6.2567862384762946E-2</v>
      </c>
      <c r="W210" s="2"/>
      <c r="X210" s="2">
        <f t="shared" si="143"/>
        <v>21177.969999999972</v>
      </c>
      <c r="Y210" s="2"/>
      <c r="Z210" s="19">
        <f t="shared" si="144"/>
        <v>0.14378866770152809</v>
      </c>
    </row>
    <row r="211" spans="1:26" s="24" customFormat="1" hidden="1" outlineLevel="1" x14ac:dyDescent="0.25">
      <c r="A211" s="44"/>
      <c r="B211" s="11" t="str">
        <f>CONCATENATE("          ", "9152", " - ", "MISC. INCOME")</f>
        <v xml:space="preserve">          9152 - MISC. INCOME</v>
      </c>
      <c r="C211" s="11"/>
      <c r="D211" s="2">
        <f>--257.3</f>
        <v>257.3</v>
      </c>
      <c r="E211" s="2"/>
      <c r="F211" s="19">
        <f t="shared" si="137"/>
        <v>4.6745801816404158E-4</v>
      </c>
      <c r="G211" s="2"/>
      <c r="H211" s="2">
        <f>--262.08</f>
        <v>262.08</v>
      </c>
      <c r="I211" s="2"/>
      <c r="J211" s="19">
        <f t="shared" si="138"/>
        <v>1.6368845654739146E-3</v>
      </c>
      <c r="K211" s="2"/>
      <c r="L211" s="2">
        <f t="shared" si="139"/>
        <v>-4.7799999999999727</v>
      </c>
      <c r="M211" s="2"/>
      <c r="N211" s="19">
        <f t="shared" si="140"/>
        <v>-1.8238705738705636E-2</v>
      </c>
      <c r="O211" s="11"/>
      <c r="P211" s="2">
        <f>--2195.41</f>
        <v>2195.41</v>
      </c>
      <c r="Q211" s="2"/>
      <c r="R211" s="19">
        <f t="shared" si="141"/>
        <v>7.6543953526421644E-4</v>
      </c>
      <c r="S211" s="2"/>
      <c r="T211" s="2">
        <f>--2351.02</f>
        <v>2351.02</v>
      </c>
      <c r="U211" s="2"/>
      <c r="V211" s="19">
        <f t="shared" si="142"/>
        <v>9.9872971666657056E-4</v>
      </c>
      <c r="W211" s="2"/>
      <c r="X211" s="2">
        <f t="shared" si="143"/>
        <v>-155.61000000000013</v>
      </c>
      <c r="Y211" s="2"/>
      <c r="Z211" s="19">
        <f t="shared" si="144"/>
        <v>-6.61882927410231E-2</v>
      </c>
    </row>
    <row r="212" spans="1:26" s="24" customFormat="1" hidden="1" outlineLevel="1" x14ac:dyDescent="0.25">
      <c r="A212" s="44"/>
      <c r="B212" s="11" t="str">
        <f>CONCATENATE("          ", "9163", " - ", "MISC. INCOME")</f>
        <v xml:space="preserve">          9163 - MISC. INCOME</v>
      </c>
      <c r="C212" s="11"/>
      <c r="D212" s="2">
        <f>--9736.96</f>
        <v>9736.9599999999991</v>
      </c>
      <c r="E212" s="2"/>
      <c r="F212" s="19">
        <f t="shared" si="137"/>
        <v>1.768993402465039E-2</v>
      </c>
      <c r="G212" s="2"/>
      <c r="H212" s="2">
        <f>0</f>
        <v>0</v>
      </c>
      <c r="I212" s="2"/>
      <c r="J212" s="19">
        <f t="shared" si="138"/>
        <v>0</v>
      </c>
      <c r="K212" s="2"/>
      <c r="L212" s="2">
        <f t="shared" si="139"/>
        <v>9736.9599999999991</v>
      </c>
      <c r="M212" s="2"/>
      <c r="N212" s="19">
        <f t="shared" si="140"/>
        <v>0</v>
      </c>
      <c r="O212" s="11"/>
      <c r="P212" s="2">
        <f>--72748.2</f>
        <v>72748.2</v>
      </c>
      <c r="Q212" s="2"/>
      <c r="R212" s="19">
        <f t="shared" si="141"/>
        <v>2.5363985952194933E-2</v>
      </c>
      <c r="S212" s="2"/>
      <c r="T212" s="2">
        <f>--160663.9</f>
        <v>160663.9</v>
      </c>
      <c r="U212" s="2"/>
      <c r="V212" s="19">
        <f t="shared" si="142"/>
        <v>6.82511468747804E-2</v>
      </c>
      <c r="W212" s="2"/>
      <c r="X212" s="2">
        <f t="shared" si="143"/>
        <v>-87915.7</v>
      </c>
      <c r="Y212" s="2"/>
      <c r="Z212" s="19">
        <f t="shared" si="144"/>
        <v>-0.54720257630992397</v>
      </c>
    </row>
    <row r="213" spans="1:26" x14ac:dyDescent="0.25">
      <c r="A213" s="9"/>
      <c r="B213" s="10"/>
      <c r="C213" s="10"/>
      <c r="D213" s="3"/>
      <c r="E213" s="3"/>
      <c r="F213" s="8"/>
      <c r="G213" s="3"/>
      <c r="H213" s="3"/>
      <c r="I213" s="3"/>
      <c r="J213" s="8"/>
      <c r="K213" s="3"/>
      <c r="L213" s="3"/>
      <c r="M213" s="3"/>
      <c r="N213" s="8"/>
      <c r="O213" s="10"/>
      <c r="P213" s="3"/>
      <c r="Q213" s="3"/>
      <c r="R213" s="8"/>
      <c r="S213" s="3"/>
      <c r="T213" s="3"/>
      <c r="U213" s="3"/>
      <c r="V213" s="8"/>
      <c r="W213" s="3"/>
      <c r="X213" s="3"/>
      <c r="Y213" s="3"/>
      <c r="Z213" s="8"/>
    </row>
    <row r="214" spans="1:26" s="23" customFormat="1" x14ac:dyDescent="0.25">
      <c r="A214" s="10"/>
      <c r="B214" s="26" t="s">
        <v>276</v>
      </c>
      <c r="C214" s="26"/>
      <c r="D214" s="22">
        <f>+D117-D119+D208</f>
        <v>-52670.340000000157</v>
      </c>
      <c r="E214" s="13"/>
      <c r="F214" s="20">
        <f>IF(D$12=0,0,D214/D$12)</f>
        <v>-9.5690527603677883E-2</v>
      </c>
      <c r="G214" s="13"/>
      <c r="H214" s="22">
        <f>+H117-H119+H208</f>
        <v>-216724.68000000002</v>
      </c>
      <c r="I214" s="13"/>
      <c r="J214" s="20">
        <f>IF(H$12=0,0,H214/H$12)</f>
        <v>-1.3536068515311097</v>
      </c>
      <c r="K214" s="15"/>
      <c r="L214" s="22">
        <f>+D214-H214</f>
        <v>164054.33999999985</v>
      </c>
      <c r="M214" s="15"/>
      <c r="N214" s="20">
        <f>IF(H214=0,0,L214/H214)</f>
        <v>-0.75697119497419418</v>
      </c>
      <c r="O214" s="25"/>
      <c r="P214" s="22">
        <f>+P117-P119+P208</f>
        <v>127603.56000000052</v>
      </c>
      <c r="Q214" s="13"/>
      <c r="R214" s="20">
        <f>IF(P$12=0,0,P214/P$12)</f>
        <v>4.4489553051348024E-2</v>
      </c>
      <c r="S214" s="13"/>
      <c r="T214" s="22">
        <f>+T117-T119+T208</f>
        <v>142334.61999999976</v>
      </c>
      <c r="U214" s="13"/>
      <c r="V214" s="20">
        <f>IF(T$12=0,0,T214/T$12)</f>
        <v>6.0464740710178461E-2</v>
      </c>
      <c r="W214" s="15"/>
      <c r="X214" s="22">
        <f>+P214-T214</f>
        <v>-14731.059999999241</v>
      </c>
      <c r="Y214" s="15"/>
      <c r="Z214" s="20">
        <f>IF(T214=0,0,X214/T214)</f>
        <v>-0.10349597308089392</v>
      </c>
    </row>
    <row r="215" spans="1:26" x14ac:dyDescent="0.25">
      <c r="A215" s="9"/>
      <c r="B215" s="10"/>
      <c r="C215" s="9"/>
      <c r="D215" s="3"/>
      <c r="E215" s="3"/>
      <c r="F215" s="8"/>
      <c r="G215" s="3"/>
      <c r="H215" s="3"/>
      <c r="I215" s="3"/>
      <c r="J215" s="8"/>
      <c r="K215" s="3"/>
      <c r="L215" s="3"/>
      <c r="M215" s="3"/>
      <c r="N215" s="8"/>
      <c r="P215" s="3"/>
      <c r="Q215" s="3"/>
      <c r="R215" s="8"/>
      <c r="S215" s="3"/>
      <c r="T215" s="3"/>
      <c r="U215" s="3"/>
      <c r="V215" s="8"/>
      <c r="W215" s="3"/>
      <c r="X215" s="3"/>
      <c r="Y215" s="3"/>
      <c r="Z215" s="8"/>
    </row>
    <row r="216" spans="1:26" s="23" customFormat="1" x14ac:dyDescent="0.25">
      <c r="A216" s="51"/>
      <c r="B216" s="10" t="s">
        <v>127</v>
      </c>
      <c r="C216" s="10"/>
      <c r="D216" s="4">
        <v>44656.27</v>
      </c>
      <c r="E216" s="4"/>
      <c r="F216" s="12">
        <f>IF(D$12=0,0,D216/D$12)</f>
        <v>8.1130709183048363E-2</v>
      </c>
      <c r="G216" s="4"/>
      <c r="H216" s="4">
        <v>103498.17</v>
      </c>
      <c r="I216" s="4"/>
      <c r="J216" s="12">
        <f>IF(H$12=0,0,H216/H$12)</f>
        <v>0.64642306558224716</v>
      </c>
      <c r="K216" s="4"/>
      <c r="L216" s="4">
        <f>+D216-H216</f>
        <v>-58841.9</v>
      </c>
      <c r="M216" s="4"/>
      <c r="N216" s="12">
        <f>IF(H216=0,0,L216/H216)</f>
        <v>-0.56853082523101617</v>
      </c>
      <c r="O216" s="10"/>
      <c r="P216" s="4">
        <v>331536.65000000002</v>
      </c>
      <c r="Q216" s="4"/>
      <c r="R216" s="12">
        <f>IF(P$12=0,0,P216/P$12)</f>
        <v>0.11559173880917697</v>
      </c>
      <c r="S216" s="4"/>
      <c r="T216" s="4">
        <v>509929.32</v>
      </c>
      <c r="U216" s="4"/>
      <c r="V216" s="12">
        <f>IF(T$12=0,0,T216/T$12)</f>
        <v>0.21662153673026049</v>
      </c>
      <c r="W216" s="4"/>
      <c r="X216" s="4">
        <f>+P216-T216</f>
        <v>-178392.66999999998</v>
      </c>
      <c r="Y216" s="4"/>
      <c r="Z216" s="12">
        <f>IF(T216=0,0,X216/T216)</f>
        <v>-0.34983803245516454</v>
      </c>
    </row>
    <row r="217" spans="1:26" x14ac:dyDescent="0.25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ht="15.75" thickBot="1" x14ac:dyDescent="0.3">
      <c r="A218" s="10"/>
      <c r="B218" s="26" t="s">
        <v>125</v>
      </c>
      <c r="C218" s="26"/>
      <c r="D218" s="33">
        <f>+D214-D216</f>
        <v>-97326.610000000161</v>
      </c>
      <c r="E218" s="13"/>
      <c r="F218" s="31">
        <f>IF(D$12=0,0,D218/D$12)</f>
        <v>-0.17682123678672626</v>
      </c>
      <c r="G218" s="13"/>
      <c r="H218" s="33">
        <f>+H214-H216</f>
        <v>-320222.85000000003</v>
      </c>
      <c r="I218" s="13"/>
      <c r="J218" s="31">
        <f>IF(H$12=0,0,H218/H$12)</f>
        <v>-2.0000299171133569</v>
      </c>
      <c r="K218" s="15"/>
      <c r="L218" s="33">
        <f>D218-H218</f>
        <v>222896.23999999987</v>
      </c>
      <c r="M218" s="15"/>
      <c r="N218" s="31">
        <f>IF(H218=0,0,L218/H218)</f>
        <v>-0.69606600528350759</v>
      </c>
      <c r="O218" s="25"/>
      <c r="P218" s="33">
        <f>+P214-P216</f>
        <v>-203933.0899999995</v>
      </c>
      <c r="Q218" s="13"/>
      <c r="R218" s="31">
        <f>IF(P$12=0,0,P218/P$12)</f>
        <v>-7.1102185757828951E-2</v>
      </c>
      <c r="S218" s="13"/>
      <c r="T218" s="33">
        <f>+T214-T216</f>
        <v>-367594.70000000024</v>
      </c>
      <c r="U218" s="13"/>
      <c r="V218" s="31">
        <f>IF(T$12=0,0,T218/T$12)</f>
        <v>-0.15615679602008203</v>
      </c>
      <c r="W218" s="15"/>
      <c r="X218" s="33">
        <f>P218-T218</f>
        <v>163661.61000000074</v>
      </c>
      <c r="Y218" s="15"/>
      <c r="Z218" s="31">
        <f>IF(T218=0,0,X218/T218)</f>
        <v>-0.44522298607678684</v>
      </c>
    </row>
    <row r="219" spans="1:26" ht="15.75" thickTop="1" x14ac:dyDescent="0.25">
      <c r="A219" s="9"/>
      <c r="B219" s="9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x14ac:dyDescent="0.25">
      <c r="A220" s="9"/>
      <c r="B220" s="9"/>
      <c r="C220" s="9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ht="15.75" thickBot="1" x14ac:dyDescent="0.3">
      <c r="A221" s="10"/>
      <c r="B221" s="26" t="s">
        <v>293</v>
      </c>
      <c r="C221" s="26"/>
      <c r="D221" s="34">
        <f>SUM(D218:D220)</f>
        <v>-97326.610000000161</v>
      </c>
      <c r="E221" s="13"/>
      <c r="F221" s="30">
        <f>IF(D$12=0,0,D221/D$12)</f>
        <v>-0.17682123678672626</v>
      </c>
      <c r="G221" s="13"/>
      <c r="H221" s="34">
        <f>SUM(H218:H220)</f>
        <v>-320222.85000000003</v>
      </c>
      <c r="I221" s="13"/>
      <c r="J221" s="30">
        <f>IF(H$12=0,0,H221/H$12)</f>
        <v>-2.0000299171133569</v>
      </c>
      <c r="K221" s="15"/>
      <c r="L221" s="34">
        <f>+D221-H221</f>
        <v>222896.23999999987</v>
      </c>
      <c r="M221" s="15"/>
      <c r="N221" s="30">
        <f>IF(H221=0,0,L221/H221)</f>
        <v>-0.69606600528350759</v>
      </c>
      <c r="O221" s="25"/>
      <c r="P221" s="34">
        <f>SUM(P218:P220)</f>
        <v>-203933.0899999995</v>
      </c>
      <c r="Q221" s="13"/>
      <c r="R221" s="30">
        <f>IF(P$12=0,0,P221/P$12)</f>
        <v>-7.1102185757828951E-2</v>
      </c>
      <c r="S221" s="13"/>
      <c r="T221" s="34">
        <f>SUM(T218:T220)</f>
        <v>-367594.70000000024</v>
      </c>
      <c r="U221" s="13"/>
      <c r="V221" s="30">
        <f>IF(T$12=0,0,T221/T$12)</f>
        <v>-0.15615679602008203</v>
      </c>
      <c r="W221" s="15"/>
      <c r="X221" s="34">
        <f>+P221-T221</f>
        <v>163661.61000000074</v>
      </c>
      <c r="Y221" s="15"/>
      <c r="Z221" s="30">
        <f>IF(T221=0,0,X221/T221)</f>
        <v>-0.44522298607678684</v>
      </c>
    </row>
    <row r="222" spans="1:26" ht="15.75" thickTop="1" x14ac:dyDescent="0.25">
      <c r="A222" s="9"/>
      <c r="C222" s="9"/>
      <c r="D222" s="18"/>
      <c r="E222" s="18"/>
      <c r="G222" s="18"/>
      <c r="H222" s="18"/>
      <c r="I222" s="18"/>
      <c r="J222" s="42"/>
      <c r="K222" s="18"/>
      <c r="L222" s="18"/>
      <c r="M222" s="18"/>
      <c r="P222" s="18"/>
      <c r="Q222" s="18"/>
      <c r="R222" s="42"/>
      <c r="S222" s="18"/>
      <c r="T222" s="18"/>
      <c r="U222" s="18"/>
      <c r="V222" s="42"/>
      <c r="W222" s="18"/>
      <c r="X222" s="18"/>
    </row>
    <row r="223" spans="1:26" x14ac:dyDescent="0.25">
      <c r="A223" s="9"/>
      <c r="B223" s="61">
        <v>44517.966987118052</v>
      </c>
      <c r="D223" s="18"/>
      <c r="E223" s="18"/>
      <c r="G223" s="18"/>
      <c r="H223" s="18"/>
      <c r="I223" s="18"/>
      <c r="J223" s="42"/>
      <c r="K223" s="18"/>
      <c r="L223" s="18"/>
      <c r="M223" s="18"/>
      <c r="P223" s="18"/>
      <c r="Q223" s="18"/>
      <c r="R223" s="42"/>
      <c r="S223" s="18"/>
      <c r="T223" s="18"/>
      <c r="U223" s="18"/>
      <c r="V223" s="42"/>
      <c r="W223" s="18"/>
      <c r="X223" s="18"/>
    </row>
    <row r="224" spans="1:26" x14ac:dyDescent="0.25">
      <c r="A224" s="9"/>
      <c r="B224" s="57" t="s">
        <v>56</v>
      </c>
      <c r="D224" s="18"/>
      <c r="E224" s="18"/>
      <c r="G224" s="18"/>
      <c r="H224" s="18"/>
      <c r="I224" s="18"/>
      <c r="J224" s="42"/>
      <c r="K224" s="18"/>
      <c r="L224" s="18"/>
      <c r="M224" s="18"/>
      <c r="P224" s="18"/>
      <c r="Q224" s="18"/>
      <c r="R224" s="42"/>
      <c r="S224" s="18"/>
      <c r="T224" s="18"/>
      <c r="U224" s="18"/>
      <c r="V224" s="42"/>
      <c r="W224" s="18"/>
      <c r="X224" s="18"/>
    </row>
    <row r="225" spans="1:24" x14ac:dyDescent="0.25">
      <c r="A225" s="9"/>
      <c r="B225" s="58"/>
      <c r="D225" s="18"/>
      <c r="E225" s="18"/>
      <c r="G225" s="18"/>
      <c r="H225" s="18"/>
      <c r="I225" s="18"/>
      <c r="J225" s="42"/>
      <c r="K225" s="18"/>
      <c r="L225" s="18"/>
      <c r="M225" s="18"/>
      <c r="P225" s="18"/>
      <c r="Q225" s="18"/>
      <c r="R225" s="42"/>
      <c r="S225" s="18"/>
      <c r="T225" s="18"/>
      <c r="U225" s="18"/>
      <c r="V225" s="42"/>
      <c r="W225" s="18"/>
      <c r="X225" s="18"/>
    </row>
    <row r="226" spans="1:24" x14ac:dyDescent="0.25">
      <c r="D226" s="18"/>
      <c r="E226" s="18"/>
      <c r="G226" s="18"/>
      <c r="H226" s="18"/>
      <c r="I226" s="18"/>
      <c r="J226" s="42"/>
      <c r="K226" s="18"/>
      <c r="L226" s="18"/>
      <c r="M226" s="18"/>
      <c r="P226" s="18"/>
      <c r="Q226" s="18"/>
      <c r="R226" s="42"/>
      <c r="S226" s="18"/>
      <c r="T226" s="18"/>
      <c r="U226" s="18"/>
      <c r="V226" s="42"/>
      <c r="W226" s="18"/>
      <c r="X226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5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677463.59000000008</v>
      </c>
      <c r="E12" s="4"/>
      <c r="F12" s="12"/>
      <c r="G12" s="4"/>
      <c r="H12" s="4">
        <f>SUM(OSRRefH13x_0)</f>
        <v>332945.8299999999</v>
      </c>
      <c r="I12" s="4"/>
      <c r="J12" s="12"/>
      <c r="K12" s="4"/>
      <c r="L12" s="4">
        <f t="shared" ref="L12:L90" si="0">+D12-H12</f>
        <v>344517.76000000018</v>
      </c>
      <c r="M12" s="4"/>
      <c r="N12" s="12">
        <f t="shared" ref="N12:N90" si="1">IF(H12=0,0,L12/H12)</f>
        <v>1.0347561944235801</v>
      </c>
      <c r="O12" s="10"/>
      <c r="P12" s="4">
        <f>SUM(OSRRefP13x_0)</f>
        <v>3608748.7800000003</v>
      </c>
      <c r="Q12" s="4"/>
      <c r="R12" s="12"/>
      <c r="S12" s="4"/>
      <c r="T12" s="4">
        <f>SUM(OSRRefT13x_0)</f>
        <v>3490131.790000001</v>
      </c>
      <c r="U12" s="4"/>
      <c r="V12" s="12"/>
      <c r="W12" s="4"/>
      <c r="X12" s="4">
        <f t="shared" ref="X12:X90" si="2">+P12-T12</f>
        <v>118616.98999999929</v>
      </c>
      <c r="Y12" s="4"/>
      <c r="Z12" s="12">
        <f t="shared" ref="Z12:Z90" si="3">IF(T12=0,0,X12/T12)</f>
        <v>3.3986392817561557E-2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--562742.81</f>
        <v>562742.81000000006</v>
      </c>
      <c r="E13" s="2"/>
      <c r="F13" s="19"/>
      <c r="G13" s="2"/>
      <c r="H13" s="2">
        <f>-11561.63</f>
        <v>-11561.63</v>
      </c>
      <c r="I13" s="2"/>
      <c r="J13" s="19"/>
      <c r="K13" s="2"/>
      <c r="L13" s="2">
        <f t="shared" si="0"/>
        <v>574304.44000000006</v>
      </c>
      <c r="M13" s="2"/>
      <c r="N13" s="19">
        <f t="shared" si="1"/>
        <v>-49.673310770194178</v>
      </c>
      <c r="O13" s="11"/>
      <c r="P13" s="2">
        <f>--2952024.71</f>
        <v>2952024.71</v>
      </c>
      <c r="Q13" s="2"/>
      <c r="R13" s="19"/>
      <c r="S13" s="2"/>
      <c r="T13" s="2">
        <f>-49362.41</f>
        <v>-49362.41</v>
      </c>
      <c r="U13" s="2"/>
      <c r="V13" s="19"/>
      <c r="W13" s="2"/>
      <c r="X13" s="2">
        <f t="shared" si="2"/>
        <v>3001387.12</v>
      </c>
      <c r="Y13" s="2"/>
      <c r="Z13" s="19">
        <f t="shared" si="3"/>
        <v>-60.80309125911802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6" si="4">0</f>
        <v>0</v>
      </c>
      <c r="E14" s="2"/>
      <c r="F14" s="19"/>
      <c r="G14" s="2"/>
      <c r="H14" s="2">
        <f>--17630.93</f>
        <v>17630.93</v>
      </c>
      <c r="I14" s="2"/>
      <c r="J14" s="19"/>
      <c r="K14" s="2"/>
      <c r="L14" s="2">
        <f t="shared" si="0"/>
        <v>-17630.93</v>
      </c>
      <c r="M14" s="2"/>
      <c r="N14" s="19">
        <f t="shared" si="1"/>
        <v>-1</v>
      </c>
      <c r="O14" s="11"/>
      <c r="P14" s="2">
        <f t="shared" ref="P14:P36" si="5">0</f>
        <v>0</v>
      </c>
      <c r="Q14" s="2"/>
      <c r="R14" s="19"/>
      <c r="S14" s="2"/>
      <c r="T14" s="2">
        <f>--712327.57</f>
        <v>712327.57</v>
      </c>
      <c r="U14" s="2"/>
      <c r="V14" s="19"/>
      <c r="W14" s="2"/>
      <c r="X14" s="2">
        <f t="shared" si="2"/>
        <v>-712327.57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--2483.62</f>
        <v>2483.62</v>
      </c>
      <c r="I15" s="2"/>
      <c r="J15" s="19"/>
      <c r="K15" s="2"/>
      <c r="L15" s="2">
        <f t="shared" si="0"/>
        <v>-2483.62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--319139.52</f>
        <v>319139.52</v>
      </c>
      <c r="U15" s="2"/>
      <c r="V15" s="19"/>
      <c r="W15" s="2"/>
      <c r="X15" s="2">
        <f t="shared" si="2"/>
        <v>-319139.52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--70</f>
        <v>70</v>
      </c>
      <c r="I16" s="2"/>
      <c r="J16" s="19"/>
      <c r="K16" s="2"/>
      <c r="L16" s="2">
        <f t="shared" si="0"/>
        <v>-70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--354.45</f>
        <v>354.45</v>
      </c>
      <c r="I17" s="2"/>
      <c r="J17" s="19"/>
      <c r="K17" s="2"/>
      <c r="L17" s="2">
        <f t="shared" si="0"/>
        <v>-354.45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--157.47</f>
        <v>157.47</v>
      </c>
      <c r="I18" s="2"/>
      <c r="J18" s="19"/>
      <c r="K18" s="2"/>
      <c r="L18" s="2">
        <f t="shared" si="0"/>
        <v>-157.47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--197.37</f>
        <v>197.37</v>
      </c>
      <c r="U18" s="2"/>
      <c r="V18" s="19"/>
      <c r="W18" s="2"/>
      <c r="X18" s="2">
        <f t="shared" si="2"/>
        <v>-197.37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</f>
        <v>35.799999999999997</v>
      </c>
      <c r="I19" s="2"/>
      <c r="J19" s="19"/>
      <c r="K19" s="2"/>
      <c r="L19" s="2">
        <f t="shared" si="0"/>
        <v>-35.799999999999997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--20.8</f>
        <v>20.8</v>
      </c>
      <c r="I21" s="2"/>
      <c r="J21" s="19"/>
      <c r="K21" s="2"/>
      <c r="L21" s="2">
        <f t="shared" si="0"/>
        <v>-20.8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--278.83</f>
        <v>278.83</v>
      </c>
      <c r="U21" s="2"/>
      <c r="V21" s="19"/>
      <c r="W21" s="2"/>
      <c r="X21" s="2">
        <f t="shared" si="2"/>
        <v>-278.83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--2328.89</f>
        <v>2328.89</v>
      </c>
      <c r="I22" s="2"/>
      <c r="J22" s="19"/>
      <c r="K22" s="2"/>
      <c r="L22" s="2">
        <f t="shared" si="0"/>
        <v>-2328.89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--35003.5</f>
        <v>35003.5</v>
      </c>
      <c r="U22" s="2"/>
      <c r="V22" s="19"/>
      <c r="W22" s="2"/>
      <c r="X22" s="2">
        <f t="shared" si="2"/>
        <v>-35003.5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--1769.95</f>
        <v>1769.95</v>
      </c>
      <c r="I23" s="2"/>
      <c r="J23" s="19"/>
      <c r="K23" s="2"/>
      <c r="L23" s="2">
        <f t="shared" si="0"/>
        <v>-1769.95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--14268.85</f>
        <v>14268.85</v>
      </c>
      <c r="U23" s="2"/>
      <c r="V23" s="19"/>
      <c r="W23" s="2"/>
      <c r="X23" s="2">
        <f t="shared" si="2"/>
        <v>-14268.85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--429.8</f>
        <v>429.8</v>
      </c>
      <c r="I24" s="2"/>
      <c r="J24" s="19"/>
      <c r="K24" s="2"/>
      <c r="L24" s="2">
        <f t="shared" si="0"/>
        <v>-429.8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--1667.96</f>
        <v>1667.96</v>
      </c>
      <c r="U24" s="2"/>
      <c r="V24" s="19"/>
      <c r="W24" s="2"/>
      <c r="X24" s="2">
        <f t="shared" si="2"/>
        <v>-1667.96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--54384.72</f>
        <v>54384.72</v>
      </c>
      <c r="I26" s="2"/>
      <c r="J26" s="19"/>
      <c r="K26" s="2"/>
      <c r="L26" s="2">
        <f t="shared" si="0"/>
        <v>-54384.72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--382804.91</f>
        <v>382804.91</v>
      </c>
      <c r="U26" s="2"/>
      <c r="V26" s="19"/>
      <c r="W26" s="2"/>
      <c r="X26" s="2">
        <f t="shared" si="2"/>
        <v>-382804.91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--22053.6</f>
        <v>22053.599999999999</v>
      </c>
      <c r="I27" s="2"/>
      <c r="J27" s="19"/>
      <c r="K27" s="2"/>
      <c r="L27" s="2">
        <f t="shared" si="0"/>
        <v>-22053.599999999999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--153087.22</f>
        <v>153087.22</v>
      </c>
      <c r="U27" s="2"/>
      <c r="V27" s="19"/>
      <c r="W27" s="2"/>
      <c r="X27" s="2">
        <f t="shared" si="2"/>
        <v>-153087.22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--6854.18</f>
        <v>6854.18</v>
      </c>
      <c r="I28" s="2"/>
      <c r="J28" s="19"/>
      <c r="K28" s="2"/>
      <c r="L28" s="2">
        <f t="shared" si="0"/>
        <v>-6854.18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--54783.68</f>
        <v>54783.68</v>
      </c>
      <c r="U28" s="2"/>
      <c r="V28" s="19"/>
      <c r="W28" s="2"/>
      <c r="X28" s="2">
        <f t="shared" si="2"/>
        <v>-54783.68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--30454.88</f>
        <v>30454.880000000001</v>
      </c>
      <c r="I29" s="2"/>
      <c r="J29" s="19"/>
      <c r="K29" s="2"/>
      <c r="L29" s="2">
        <f t="shared" si="0"/>
        <v>-30454.880000000001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--40246.04</f>
        <v>40246.04</v>
      </c>
      <c r="U29" s="2"/>
      <c r="V29" s="19"/>
      <c r="W29" s="2"/>
      <c r="X29" s="2">
        <f t="shared" si="2"/>
        <v>-40246.04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--1157.64</f>
        <v>1157.6400000000001</v>
      </c>
      <c r="I30" s="2"/>
      <c r="J30" s="19"/>
      <c r="K30" s="2"/>
      <c r="L30" s="2">
        <f t="shared" si="0"/>
        <v>-1157.6400000000001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--12489.16</f>
        <v>12489.16</v>
      </c>
      <c r="U30" s="2"/>
      <c r="V30" s="19"/>
      <c r="W30" s="2"/>
      <c r="X30" s="2">
        <f t="shared" si="2"/>
        <v>-12489.16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--4950.17</f>
        <v>4950.17</v>
      </c>
      <c r="I31" s="2"/>
      <c r="J31" s="19"/>
      <c r="K31" s="2"/>
      <c r="L31" s="2">
        <f t="shared" si="0"/>
        <v>-4950.17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--96956.61</f>
        <v>96956.61</v>
      </c>
      <c r="U31" s="2"/>
      <c r="V31" s="19"/>
      <c r="W31" s="2"/>
      <c r="X31" s="2">
        <f t="shared" si="2"/>
        <v>-96956.61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--5014.67</f>
        <v>5014.67</v>
      </c>
      <c r="I32" s="2"/>
      <c r="J32" s="19"/>
      <c r="K32" s="2"/>
      <c r="L32" s="2">
        <f t="shared" si="0"/>
        <v>-5014.67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--55117.29</f>
        <v>55117.29</v>
      </c>
      <c r="U32" s="2"/>
      <c r="V32" s="19"/>
      <c r="W32" s="2"/>
      <c r="X32" s="2">
        <f t="shared" si="2"/>
        <v>-55117.29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 t="shared" si="4"/>
        <v>0</v>
      </c>
      <c r="E33" s="2"/>
      <c r="F33" s="19"/>
      <c r="G33" s="2"/>
      <c r="H33" s="2">
        <f>--152786.78</f>
        <v>152786.78</v>
      </c>
      <c r="I33" s="2"/>
      <c r="J33" s="19"/>
      <c r="K33" s="2"/>
      <c r="L33" s="2">
        <f t="shared" si="0"/>
        <v>-152786.78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--892099.99</f>
        <v>892099.99</v>
      </c>
      <c r="U33" s="2"/>
      <c r="V33" s="19"/>
      <c r="W33" s="2"/>
      <c r="X33" s="2">
        <f t="shared" si="2"/>
        <v>-892099.99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4"/>
        <v>0</v>
      </c>
      <c r="E34" s="2"/>
      <c r="F34" s="19"/>
      <c r="G34" s="2"/>
      <c r="H34" s="2">
        <f>--3392.4</f>
        <v>3392.4</v>
      </c>
      <c r="I34" s="2"/>
      <c r="J34" s="19"/>
      <c r="K34" s="2"/>
      <c r="L34" s="2">
        <f t="shared" si="0"/>
        <v>-3392.4</v>
      </c>
      <c r="M34" s="2"/>
      <c r="N34" s="19">
        <f t="shared" si="1"/>
        <v>-1</v>
      </c>
      <c r="O34" s="11"/>
      <c r="P34" s="2">
        <f t="shared" si="5"/>
        <v>0</v>
      </c>
      <c r="Q34" s="2"/>
      <c r="R34" s="19"/>
      <c r="S34" s="2"/>
      <c r="T34" s="2">
        <f>--72055.09</f>
        <v>72055.09</v>
      </c>
      <c r="U34" s="2"/>
      <c r="V34" s="19"/>
      <c r="W34" s="2"/>
      <c r="X34" s="2">
        <f t="shared" si="2"/>
        <v>-72055.09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 t="shared" si="4"/>
        <v>0</v>
      </c>
      <c r="E35" s="2"/>
      <c r="F35" s="19"/>
      <c r="G35" s="2"/>
      <c r="H35" s="2">
        <f>--139</f>
        <v>139</v>
      </c>
      <c r="I35" s="2"/>
      <c r="J35" s="19"/>
      <c r="K35" s="2"/>
      <c r="L35" s="2">
        <f t="shared" si="0"/>
        <v>-139</v>
      </c>
      <c r="M35" s="2"/>
      <c r="N35" s="19">
        <f t="shared" si="1"/>
        <v>-1</v>
      </c>
      <c r="O35" s="11"/>
      <c r="P35" s="2">
        <f t="shared" si="5"/>
        <v>0</v>
      </c>
      <c r="Q35" s="2"/>
      <c r="R35" s="19"/>
      <c r="S35" s="2"/>
      <c r="T35" s="2">
        <f>--1120.96</f>
        <v>1120.96</v>
      </c>
      <c r="U35" s="2"/>
      <c r="V35" s="19"/>
      <c r="W35" s="2"/>
      <c r="X35" s="2">
        <f t="shared" si="2"/>
        <v>-1120.96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 t="shared" si="4"/>
        <v>0</v>
      </c>
      <c r="E36" s="2"/>
      <c r="F36" s="19"/>
      <c r="G36" s="2"/>
      <c r="H36" s="2">
        <f>--1385.25</f>
        <v>1385.25</v>
      </c>
      <c r="I36" s="2"/>
      <c r="J36" s="19"/>
      <c r="K36" s="2"/>
      <c r="L36" s="2">
        <f t="shared" si="0"/>
        <v>-1385.25</v>
      </c>
      <c r="M36" s="2"/>
      <c r="N36" s="19">
        <f t="shared" si="1"/>
        <v>-1</v>
      </c>
      <c r="O36" s="11"/>
      <c r="P36" s="2">
        <f t="shared" si="5"/>
        <v>0</v>
      </c>
      <c r="Q36" s="2"/>
      <c r="R36" s="19"/>
      <c r="S36" s="2"/>
      <c r="T36" s="2">
        <f>--29366.66</f>
        <v>29366.66</v>
      </c>
      <c r="U36" s="2"/>
      <c r="V36" s="19"/>
      <c r="W36" s="2"/>
      <c r="X36" s="2">
        <f t="shared" si="2"/>
        <v>-29366.66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"4100", " - ", "NON-TAXABLE SALES")</f>
        <v xml:space="preserve">          4100 - NON-TAXABLE SALES</v>
      </c>
      <c r="C37" s="11"/>
      <c r="D37" s="2">
        <f>--178163.85</f>
        <v>178163.85</v>
      </c>
      <c r="E37" s="2"/>
      <c r="F37" s="19"/>
      <c r="G37" s="2"/>
      <c r="H37" s="2">
        <f>--135.79</f>
        <v>135.79</v>
      </c>
      <c r="I37" s="2"/>
      <c r="J37" s="19"/>
      <c r="K37" s="2"/>
      <c r="L37" s="2">
        <f t="shared" si="0"/>
        <v>178028.06</v>
      </c>
      <c r="M37" s="2"/>
      <c r="N37" s="19">
        <f t="shared" si="1"/>
        <v>1311.0542749834303</v>
      </c>
      <c r="O37" s="11"/>
      <c r="P37" s="2">
        <f>--861636.75</f>
        <v>861636.75</v>
      </c>
      <c r="Q37" s="2"/>
      <c r="R37" s="19"/>
      <c r="S37" s="2"/>
      <c r="T37" s="2">
        <f>--164479.81</f>
        <v>164479.81</v>
      </c>
      <c r="U37" s="2"/>
      <c r="V37" s="19"/>
      <c r="W37" s="2"/>
      <c r="X37" s="2">
        <f t="shared" si="2"/>
        <v>697156.94</v>
      </c>
      <c r="Y37" s="2"/>
      <c r="Z37" s="19">
        <f t="shared" si="3"/>
        <v>4.2385563310171621</v>
      </c>
    </row>
    <row r="38" spans="1:26" s="24" customFormat="1" hidden="1" outlineLevel="1" x14ac:dyDescent="0.25">
      <c r="A38" s="44"/>
      <c r="B38" s="11" t="str">
        <f>CONCATENATE("          ", "4101", " - ", "NON-TAXABLE SALES-NEW TEXT")</f>
        <v xml:space="preserve">          4101 - NON-TAXABLE SALES-NEW TEXT</v>
      </c>
      <c r="C38" s="11"/>
      <c r="D38" s="2">
        <f t="shared" ref="D38:D51" si="6">0</f>
        <v>0</v>
      </c>
      <c r="E38" s="2"/>
      <c r="F38" s="19"/>
      <c r="G38" s="2"/>
      <c r="H38" s="2">
        <f>--7260.05</f>
        <v>7260.05</v>
      </c>
      <c r="I38" s="2"/>
      <c r="J38" s="19"/>
      <c r="K38" s="2"/>
      <c r="L38" s="2">
        <f t="shared" si="0"/>
        <v>-7260.05</v>
      </c>
      <c r="M38" s="2"/>
      <c r="N38" s="19">
        <f t="shared" si="1"/>
        <v>-1</v>
      </c>
      <c r="O38" s="11"/>
      <c r="P38" s="2">
        <f t="shared" ref="P38:P63" si="7">0</f>
        <v>0</v>
      </c>
      <c r="Q38" s="2"/>
      <c r="R38" s="19"/>
      <c r="S38" s="2"/>
      <c r="T38" s="2">
        <f>--77664.89</f>
        <v>77664.89</v>
      </c>
      <c r="U38" s="2"/>
      <c r="V38" s="19"/>
      <c r="W38" s="2"/>
      <c r="X38" s="2">
        <f t="shared" si="2"/>
        <v>-77664.89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"4102", " - ", "NON-TAXABLE SALES-USED TEXT")</f>
        <v xml:space="preserve">          4102 - NON-TAXABLE SALES-USED TEXT</v>
      </c>
      <c r="C39" s="11"/>
      <c r="D39" s="2">
        <f t="shared" si="6"/>
        <v>0</v>
      </c>
      <c r="E39" s="2"/>
      <c r="F39" s="19"/>
      <c r="G39" s="2"/>
      <c r="H39" s="2">
        <f>--2341.65</f>
        <v>2341.65</v>
      </c>
      <c r="I39" s="2"/>
      <c r="J39" s="19"/>
      <c r="K39" s="2"/>
      <c r="L39" s="2">
        <f t="shared" si="0"/>
        <v>-2341.65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--32712.47</f>
        <v>32712.47</v>
      </c>
      <c r="U39" s="2"/>
      <c r="V39" s="19"/>
      <c r="W39" s="2"/>
      <c r="X39" s="2">
        <f t="shared" si="2"/>
        <v>-32712.47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 t="shared" si="6"/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7"/>
        <v>0</v>
      </c>
      <c r="Q40" s="2"/>
      <c r="R40" s="19"/>
      <c r="S40" s="2"/>
      <c r="T40" s="2">
        <f>--284.97</f>
        <v>284.97000000000003</v>
      </c>
      <c r="U40" s="2"/>
      <c r="V40" s="19"/>
      <c r="W40" s="2"/>
      <c r="X40" s="2">
        <f t="shared" si="2"/>
        <v>-284.97000000000003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 t="shared" si="6"/>
        <v>0</v>
      </c>
      <c r="E41" s="2"/>
      <c r="F41" s="19"/>
      <c r="G41" s="2"/>
      <c r="H41" s="2">
        <f>--6767.67</f>
        <v>6767.67</v>
      </c>
      <c r="I41" s="2"/>
      <c r="J41" s="19"/>
      <c r="K41" s="2"/>
      <c r="L41" s="2">
        <f t="shared" si="0"/>
        <v>-6767.67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--293475.52</f>
        <v>293475.52</v>
      </c>
      <c r="U41" s="2"/>
      <c r="V41" s="19"/>
      <c r="W41" s="2"/>
      <c r="X41" s="2">
        <f t="shared" si="2"/>
        <v>-293475.52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 t="shared" si="6"/>
        <v>0</v>
      </c>
      <c r="E42" s="2"/>
      <c r="F42" s="19"/>
      <c r="G42" s="2"/>
      <c r="H42" s="2">
        <f>--1655.95</f>
        <v>1655.95</v>
      </c>
      <c r="I42" s="2"/>
      <c r="J42" s="19"/>
      <c r="K42" s="2"/>
      <c r="L42" s="2">
        <f t="shared" si="0"/>
        <v>-1655.95</v>
      </c>
      <c r="M42" s="2"/>
      <c r="N42" s="19">
        <f t="shared" si="1"/>
        <v>-1</v>
      </c>
      <c r="O42" s="11"/>
      <c r="P42" s="2">
        <f t="shared" si="7"/>
        <v>0</v>
      </c>
      <c r="Q42" s="2"/>
      <c r="R42" s="19"/>
      <c r="S42" s="2"/>
      <c r="T42" s="2">
        <f>--1655.95</f>
        <v>1655.95</v>
      </c>
      <c r="U42" s="2"/>
      <c r="V42" s="19"/>
      <c r="W42" s="2"/>
      <c r="X42" s="2">
        <f t="shared" si="2"/>
        <v>-1655.95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 t="shared" si="6"/>
        <v>0</v>
      </c>
      <c r="E43" s="2"/>
      <c r="F43" s="19"/>
      <c r="G43" s="2"/>
      <c r="H43" s="2">
        <f>--97.3</f>
        <v>97.3</v>
      </c>
      <c r="I43" s="2"/>
      <c r="J43" s="19"/>
      <c r="K43" s="2"/>
      <c r="L43" s="2">
        <f t="shared" si="0"/>
        <v>-97.3</v>
      </c>
      <c r="M43" s="2"/>
      <c r="N43" s="19">
        <f t="shared" si="1"/>
        <v>-1</v>
      </c>
      <c r="O43" s="11"/>
      <c r="P43" s="2">
        <f t="shared" si="7"/>
        <v>0</v>
      </c>
      <c r="Q43" s="2"/>
      <c r="R43" s="19"/>
      <c r="S43" s="2"/>
      <c r="T43" s="2">
        <f>--205.63</f>
        <v>205.63</v>
      </c>
      <c r="U43" s="2"/>
      <c r="V43" s="19"/>
      <c r="W43" s="2"/>
      <c r="X43" s="2">
        <f t="shared" si="2"/>
        <v>-205.63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 t="shared" si="6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7"/>
        <v>0</v>
      </c>
      <c r="Q44" s="2"/>
      <c r="R44" s="19"/>
      <c r="S44" s="2"/>
      <c r="T44" s="2">
        <f>--52.68</f>
        <v>52.68</v>
      </c>
      <c r="U44" s="2"/>
      <c r="V44" s="19"/>
      <c r="W44" s="2"/>
      <c r="X44" s="2">
        <f t="shared" si="2"/>
        <v>-52.68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 t="shared" si="6"/>
        <v>0</v>
      </c>
      <c r="E45" s="2"/>
      <c r="F45" s="19"/>
      <c r="G45" s="2"/>
      <c r="H45" s="2">
        <f>--160.95</f>
        <v>160.94999999999999</v>
      </c>
      <c r="I45" s="2"/>
      <c r="J45" s="19"/>
      <c r="K45" s="2"/>
      <c r="L45" s="2">
        <f t="shared" si="0"/>
        <v>-160.94999999999999</v>
      </c>
      <c r="M45" s="2"/>
      <c r="N45" s="19">
        <f t="shared" si="1"/>
        <v>-1</v>
      </c>
      <c r="O45" s="11"/>
      <c r="P45" s="2">
        <f t="shared" si="7"/>
        <v>0</v>
      </c>
      <c r="Q45" s="2"/>
      <c r="R45" s="19"/>
      <c r="S45" s="2"/>
      <c r="T45" s="2">
        <f>--2831.69</f>
        <v>2831.69</v>
      </c>
      <c r="U45" s="2"/>
      <c r="V45" s="19"/>
      <c r="W45" s="2"/>
      <c r="X45" s="2">
        <f t="shared" si="2"/>
        <v>-2831.69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 t="shared" si="6"/>
        <v>0</v>
      </c>
      <c r="E46" s="2"/>
      <c r="F46" s="19"/>
      <c r="G46" s="2"/>
      <c r="H46" s="2">
        <f>--1521.48</f>
        <v>1521.48</v>
      </c>
      <c r="I46" s="2"/>
      <c r="J46" s="19"/>
      <c r="K46" s="2"/>
      <c r="L46" s="2">
        <f t="shared" si="0"/>
        <v>-1521.48</v>
      </c>
      <c r="M46" s="2"/>
      <c r="N46" s="19">
        <f t="shared" si="1"/>
        <v>-1</v>
      </c>
      <c r="O46" s="11"/>
      <c r="P46" s="2">
        <f t="shared" si="7"/>
        <v>0</v>
      </c>
      <c r="Q46" s="2"/>
      <c r="R46" s="19"/>
      <c r="S46" s="2"/>
      <c r="T46" s="2">
        <f>--5525.44</f>
        <v>5525.44</v>
      </c>
      <c r="U46" s="2"/>
      <c r="V46" s="19"/>
      <c r="W46" s="2"/>
      <c r="X46" s="2">
        <f t="shared" si="2"/>
        <v>-5525.44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si="6"/>
        <v>0</v>
      </c>
      <c r="E47" s="2"/>
      <c r="F47" s="19"/>
      <c r="G47" s="2"/>
      <c r="H47" s="2">
        <f t="shared" ref="H47:H50" si="8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7"/>
        <v>0</v>
      </c>
      <c r="Q47" s="2"/>
      <c r="R47" s="19"/>
      <c r="S47" s="2"/>
      <c r="T47" s="2">
        <f>--22.49</f>
        <v>22.49</v>
      </c>
      <c r="U47" s="2"/>
      <c r="V47" s="19"/>
      <c r="W47" s="2"/>
      <c r="X47" s="2">
        <f t="shared" si="2"/>
        <v>-22.49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6"/>
        <v>0</v>
      </c>
      <c r="E48" s="2"/>
      <c r="F48" s="19"/>
      <c r="G48" s="2"/>
      <c r="H48" s="2">
        <f t="shared" si="8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7"/>
        <v>0</v>
      </c>
      <c r="Q48" s="2"/>
      <c r="R48" s="19"/>
      <c r="S48" s="2"/>
      <c r="T48" s="2">
        <f>--80.71</f>
        <v>80.709999999999994</v>
      </c>
      <c r="U48" s="2"/>
      <c r="V48" s="19"/>
      <c r="W48" s="2"/>
      <c r="X48" s="2">
        <f t="shared" si="2"/>
        <v>-80.709999999999994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6"/>
        <v>0</v>
      </c>
      <c r="E49" s="2"/>
      <c r="F49" s="19"/>
      <c r="G49" s="2"/>
      <c r="H49" s="2">
        <f t="shared" si="8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7"/>
        <v>0</v>
      </c>
      <c r="Q49" s="2"/>
      <c r="R49" s="19"/>
      <c r="S49" s="2"/>
      <c r="T49" s="2">
        <f>--45.53</f>
        <v>45.53</v>
      </c>
      <c r="U49" s="2"/>
      <c r="V49" s="19"/>
      <c r="W49" s="2"/>
      <c r="X49" s="2">
        <f t="shared" si="2"/>
        <v>-45.53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6"/>
        <v>0</v>
      </c>
      <c r="E50" s="2"/>
      <c r="F50" s="19"/>
      <c r="G50" s="2"/>
      <c r="H50" s="2">
        <f t="shared" si="8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7"/>
        <v>0</v>
      </c>
      <c r="Q50" s="2"/>
      <c r="R50" s="19"/>
      <c r="S50" s="2"/>
      <c r="T50" s="2">
        <f>--68.25</f>
        <v>68.25</v>
      </c>
      <c r="U50" s="2"/>
      <c r="V50" s="19"/>
      <c r="W50" s="2"/>
      <c r="X50" s="2">
        <f t="shared" si="2"/>
        <v>-68.25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 t="shared" si="6"/>
        <v>0</v>
      </c>
      <c r="E51" s="2"/>
      <c r="F51" s="19"/>
      <c r="G51" s="2"/>
      <c r="H51" s="2">
        <f>--13163.04</f>
        <v>13163.04</v>
      </c>
      <c r="I51" s="2"/>
      <c r="J51" s="19"/>
      <c r="K51" s="2"/>
      <c r="L51" s="2">
        <f t="shared" si="0"/>
        <v>-13163.04</v>
      </c>
      <c r="M51" s="2"/>
      <c r="N51" s="19">
        <f t="shared" si="1"/>
        <v>-1</v>
      </c>
      <c r="O51" s="11"/>
      <c r="P51" s="2">
        <f t="shared" si="7"/>
        <v>0</v>
      </c>
      <c r="Q51" s="2"/>
      <c r="R51" s="19"/>
      <c r="S51" s="2"/>
      <c r="T51" s="2">
        <f>--30615.48</f>
        <v>30615.48</v>
      </c>
      <c r="U51" s="2"/>
      <c r="V51" s="19"/>
      <c r="W51" s="2"/>
      <c r="X51" s="2">
        <f t="shared" si="2"/>
        <v>-30615.48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-460.55</f>
        <v>-460.55</v>
      </c>
      <c r="E52" s="2"/>
      <c r="F52" s="19"/>
      <c r="G52" s="2"/>
      <c r="H52" s="2">
        <f>--437.71</f>
        <v>437.71</v>
      </c>
      <c r="I52" s="2"/>
      <c r="J52" s="19"/>
      <c r="K52" s="2"/>
      <c r="L52" s="2">
        <f t="shared" si="0"/>
        <v>-898.26</v>
      </c>
      <c r="M52" s="2"/>
      <c r="N52" s="19">
        <f t="shared" si="1"/>
        <v>-2.0521806675652829</v>
      </c>
      <c r="O52" s="11"/>
      <c r="P52" s="2">
        <f t="shared" si="7"/>
        <v>0</v>
      </c>
      <c r="Q52" s="2"/>
      <c r="R52" s="19"/>
      <c r="S52" s="2"/>
      <c r="T52" s="2">
        <f>--3382.7</f>
        <v>3382.7</v>
      </c>
      <c r="U52" s="2"/>
      <c r="V52" s="19"/>
      <c r="W52" s="2"/>
      <c r="X52" s="2">
        <f t="shared" si="2"/>
        <v>-3382.7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 t="shared" ref="D53:D56" si="9">0</f>
        <v>0</v>
      </c>
      <c r="E53" s="2"/>
      <c r="F53" s="19"/>
      <c r="G53" s="2"/>
      <c r="H53" s="2">
        <f>--310.68</f>
        <v>310.68</v>
      </c>
      <c r="I53" s="2"/>
      <c r="J53" s="19"/>
      <c r="K53" s="2"/>
      <c r="L53" s="2">
        <f t="shared" si="0"/>
        <v>-310.68</v>
      </c>
      <c r="M53" s="2"/>
      <c r="N53" s="19">
        <f t="shared" si="1"/>
        <v>-1</v>
      </c>
      <c r="O53" s="11"/>
      <c r="P53" s="2">
        <f t="shared" si="7"/>
        <v>0</v>
      </c>
      <c r="Q53" s="2"/>
      <c r="R53" s="19"/>
      <c r="S53" s="2"/>
      <c r="T53" s="2">
        <f>--1320.41</f>
        <v>1320.41</v>
      </c>
      <c r="U53" s="2"/>
      <c r="V53" s="19"/>
      <c r="W53" s="2"/>
      <c r="X53" s="2">
        <f t="shared" si="2"/>
        <v>-1320.41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 t="shared" si="9"/>
        <v>0</v>
      </c>
      <c r="E54" s="2"/>
      <c r="F54" s="19"/>
      <c r="G54" s="2"/>
      <c r="H54" s="2">
        <f>--9.99</f>
        <v>9.99</v>
      </c>
      <c r="I54" s="2"/>
      <c r="J54" s="19"/>
      <c r="K54" s="2"/>
      <c r="L54" s="2">
        <f t="shared" si="0"/>
        <v>-9.99</v>
      </c>
      <c r="M54" s="2"/>
      <c r="N54" s="19">
        <f t="shared" si="1"/>
        <v>-1</v>
      </c>
      <c r="O54" s="11"/>
      <c r="P54" s="2">
        <f t="shared" si="7"/>
        <v>0</v>
      </c>
      <c r="Q54" s="2"/>
      <c r="R54" s="19"/>
      <c r="S54" s="2"/>
      <c r="T54" s="2">
        <f>--29.97</f>
        <v>29.97</v>
      </c>
      <c r="U54" s="2"/>
      <c r="V54" s="19"/>
      <c r="W54" s="2"/>
      <c r="X54" s="2">
        <f t="shared" si="2"/>
        <v>-29.97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 t="shared" si="9"/>
        <v>0</v>
      </c>
      <c r="E55" s="2"/>
      <c r="F55" s="19"/>
      <c r="G55" s="2"/>
      <c r="H55" s="2">
        <f>--154</f>
        <v>154</v>
      </c>
      <c r="I55" s="2"/>
      <c r="J55" s="19"/>
      <c r="K55" s="2"/>
      <c r="L55" s="2">
        <f t="shared" si="0"/>
        <v>-154</v>
      </c>
      <c r="M55" s="2"/>
      <c r="N55" s="19">
        <f t="shared" si="1"/>
        <v>-1</v>
      </c>
      <c r="O55" s="11"/>
      <c r="P55" s="2">
        <f t="shared" si="7"/>
        <v>0</v>
      </c>
      <c r="Q55" s="2"/>
      <c r="R55" s="19"/>
      <c r="S55" s="2"/>
      <c r="T55" s="2">
        <f>--369.75</f>
        <v>369.75</v>
      </c>
      <c r="U55" s="2"/>
      <c r="V55" s="19"/>
      <c r="W55" s="2"/>
      <c r="X55" s="2">
        <f t="shared" si="2"/>
        <v>-369.75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 t="shared" si="9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 t="shared" si="7"/>
        <v>0</v>
      </c>
      <c r="Q56" s="2"/>
      <c r="R56" s="19"/>
      <c r="S56" s="2"/>
      <c r="T56" s="2">
        <f>--35846</f>
        <v>35846</v>
      </c>
      <c r="U56" s="2"/>
      <c r="V56" s="19"/>
      <c r="W56" s="2"/>
      <c r="X56" s="2">
        <f t="shared" si="2"/>
        <v>-35846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-7492.95</f>
        <v>-7492.95</v>
      </c>
      <c r="E57" s="2"/>
      <c r="F57" s="19"/>
      <c r="G57" s="2"/>
      <c r="H57" s="2">
        <f>--21.3</f>
        <v>21.3</v>
      </c>
      <c r="I57" s="2"/>
      <c r="J57" s="19"/>
      <c r="K57" s="2"/>
      <c r="L57" s="2">
        <f t="shared" si="0"/>
        <v>-7514.25</v>
      </c>
      <c r="M57" s="2"/>
      <c r="N57" s="19">
        <f t="shared" si="1"/>
        <v>-352.78169014084506</v>
      </c>
      <c r="O57" s="11"/>
      <c r="P57" s="2">
        <f t="shared" si="7"/>
        <v>0</v>
      </c>
      <c r="Q57" s="2"/>
      <c r="R57" s="19"/>
      <c r="S57" s="2"/>
      <c r="T57" s="2">
        <f t="shared" ref="T57:T58" si="10">--86.5</f>
        <v>86.5</v>
      </c>
      <c r="U57" s="2"/>
      <c r="V57" s="19"/>
      <c r="W57" s="2"/>
      <c r="X57" s="2">
        <f t="shared" si="2"/>
        <v>-86.5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 t="shared" ref="D58:D63" si="11">0</f>
        <v>0</v>
      </c>
      <c r="E58" s="2"/>
      <c r="F58" s="19"/>
      <c r="G58" s="2"/>
      <c r="H58" s="2">
        <f>--38.5</f>
        <v>38.5</v>
      </c>
      <c r="I58" s="2"/>
      <c r="J58" s="19"/>
      <c r="K58" s="2"/>
      <c r="L58" s="2">
        <f t="shared" si="0"/>
        <v>-38.5</v>
      </c>
      <c r="M58" s="2"/>
      <c r="N58" s="19">
        <f t="shared" si="1"/>
        <v>-1</v>
      </c>
      <c r="O58" s="11"/>
      <c r="P58" s="2">
        <f t="shared" si="7"/>
        <v>0</v>
      </c>
      <c r="Q58" s="2"/>
      <c r="R58" s="19"/>
      <c r="S58" s="2"/>
      <c r="T58" s="2">
        <f t="shared" si="10"/>
        <v>86.5</v>
      </c>
      <c r="U58" s="2"/>
      <c r="V58" s="19"/>
      <c r="W58" s="2"/>
      <c r="X58" s="2">
        <f t="shared" si="2"/>
        <v>-86.5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"4181", " - ", "NON-TAXABLE SALES-ELECTRONICS")</f>
        <v xml:space="preserve">          4181 - NON-TAXABLE SALES-ELECTRONICS</v>
      </c>
      <c r="C59" s="11"/>
      <c r="D59" s="2">
        <f t="shared" si="11"/>
        <v>0</v>
      </c>
      <c r="E59" s="2"/>
      <c r="F59" s="19"/>
      <c r="G59" s="2"/>
      <c r="H59" s="2">
        <f>--194.97</f>
        <v>194.97</v>
      </c>
      <c r="I59" s="2"/>
      <c r="J59" s="19"/>
      <c r="K59" s="2"/>
      <c r="L59" s="2">
        <f t="shared" si="0"/>
        <v>-194.97</v>
      </c>
      <c r="M59" s="2"/>
      <c r="N59" s="19">
        <f t="shared" si="1"/>
        <v>-1</v>
      </c>
      <c r="O59" s="11"/>
      <c r="P59" s="2">
        <f t="shared" si="7"/>
        <v>0</v>
      </c>
      <c r="Q59" s="2"/>
      <c r="R59" s="19"/>
      <c r="S59" s="2"/>
      <c r="T59" s="2">
        <f>--3504.13</f>
        <v>3504.13</v>
      </c>
      <c r="U59" s="2"/>
      <c r="V59" s="19"/>
      <c r="W59" s="2"/>
      <c r="X59" s="2">
        <f t="shared" si="2"/>
        <v>-3504.13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"4182", " - ", "NON-TAXABLE SALES-COMPUTER HAR")</f>
        <v xml:space="preserve">          4182 - NON-TAXABLE SALES-COMPUTER HAR</v>
      </c>
      <c r="C60" s="11"/>
      <c r="D60" s="2">
        <f t="shared" si="11"/>
        <v>0</v>
      </c>
      <c r="E60" s="2"/>
      <c r="F60" s="19"/>
      <c r="G60" s="2"/>
      <c r="H60" s="2">
        <f>--24570</f>
        <v>24570</v>
      </c>
      <c r="I60" s="2"/>
      <c r="J60" s="19"/>
      <c r="K60" s="2"/>
      <c r="L60" s="2">
        <f t="shared" si="0"/>
        <v>-24570</v>
      </c>
      <c r="M60" s="2"/>
      <c r="N60" s="19">
        <f t="shared" si="1"/>
        <v>-1</v>
      </c>
      <c r="O60" s="11"/>
      <c r="P60" s="2">
        <f t="shared" si="7"/>
        <v>0</v>
      </c>
      <c r="Q60" s="2"/>
      <c r="R60" s="19"/>
      <c r="S60" s="2"/>
      <c r="T60" s="2">
        <f>--145294.38</f>
        <v>145294.38</v>
      </c>
      <c r="U60" s="2"/>
      <c r="V60" s="19"/>
      <c r="W60" s="2"/>
      <c r="X60" s="2">
        <f t="shared" si="2"/>
        <v>-145294.38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"4183", " - ", "NON-TAXABLE SALES-COMPUTER EQU")</f>
        <v xml:space="preserve">          4183 - NON-TAXABLE SALES-COMPUTER EQU</v>
      </c>
      <c r="C61" s="11"/>
      <c r="D61" s="2">
        <f t="shared" si="11"/>
        <v>0</v>
      </c>
      <c r="E61" s="2"/>
      <c r="F61" s="19"/>
      <c r="G61" s="2"/>
      <c r="H61" s="2">
        <f>--1269.91</f>
        <v>1269.9100000000001</v>
      </c>
      <c r="I61" s="2"/>
      <c r="J61" s="19"/>
      <c r="K61" s="2"/>
      <c r="L61" s="2">
        <f t="shared" si="0"/>
        <v>-1269.9100000000001</v>
      </c>
      <c r="M61" s="2"/>
      <c r="N61" s="19">
        <f t="shared" si="1"/>
        <v>-1</v>
      </c>
      <c r="O61" s="11"/>
      <c r="P61" s="2">
        <f t="shared" si="7"/>
        <v>0</v>
      </c>
      <c r="Q61" s="2"/>
      <c r="R61" s="19"/>
      <c r="S61" s="2"/>
      <c r="T61" s="2">
        <f>--6336.39</f>
        <v>6336.39</v>
      </c>
      <c r="U61" s="2"/>
      <c r="V61" s="19"/>
      <c r="W61" s="2"/>
      <c r="X61" s="2">
        <f t="shared" si="2"/>
        <v>-6336.39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"4185", " - ", "NON-TAXABLE SALES-SOFTWARE")</f>
        <v xml:space="preserve">          4185 - NON-TAXABLE SALES-SOFTWARE</v>
      </c>
      <c r="C62" s="11"/>
      <c r="D62" s="2">
        <f t="shared" si="11"/>
        <v>0</v>
      </c>
      <c r="E62" s="2"/>
      <c r="F62" s="19"/>
      <c r="G62" s="2"/>
      <c r="H62" s="2">
        <f>--4590.76</f>
        <v>4590.76</v>
      </c>
      <c r="I62" s="2"/>
      <c r="J62" s="19"/>
      <c r="K62" s="2"/>
      <c r="L62" s="2">
        <f t="shared" si="0"/>
        <v>-4590.76</v>
      </c>
      <c r="M62" s="2"/>
      <c r="N62" s="19">
        <f t="shared" si="1"/>
        <v>-1</v>
      </c>
      <c r="O62" s="11"/>
      <c r="P62" s="2">
        <f t="shared" si="7"/>
        <v>0</v>
      </c>
      <c r="Q62" s="2"/>
      <c r="R62" s="19"/>
      <c r="S62" s="2"/>
      <c r="T62" s="2">
        <f>--23816.85</f>
        <v>23816.85</v>
      </c>
      <c r="U62" s="2"/>
      <c r="V62" s="19"/>
      <c r="W62" s="2"/>
      <c r="X62" s="2">
        <f t="shared" si="2"/>
        <v>-23816.85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"4186", " - ", "NON-TAXABLE SALES-COMPUTER SUP")</f>
        <v xml:space="preserve">          4186 - NON-TAXABLE SALES-COMPUTER SUP</v>
      </c>
      <c r="C63" s="11"/>
      <c r="D63" s="2">
        <f t="shared" si="11"/>
        <v>0</v>
      </c>
      <c r="E63" s="2"/>
      <c r="F63" s="19"/>
      <c r="G63" s="2"/>
      <c r="H63" s="2">
        <f>--855.98</f>
        <v>855.98</v>
      </c>
      <c r="I63" s="2"/>
      <c r="J63" s="19"/>
      <c r="K63" s="2"/>
      <c r="L63" s="2">
        <f t="shared" si="0"/>
        <v>-855.98</v>
      </c>
      <c r="M63" s="2"/>
      <c r="N63" s="19">
        <f t="shared" si="1"/>
        <v>-1</v>
      </c>
      <c r="O63" s="11"/>
      <c r="P63" s="2">
        <f t="shared" si="7"/>
        <v>0</v>
      </c>
      <c r="Q63" s="2"/>
      <c r="R63" s="19"/>
      <c r="S63" s="2"/>
      <c r="T63" s="2">
        <f>--1729.77</f>
        <v>1729.77</v>
      </c>
      <c r="U63" s="2"/>
      <c r="V63" s="19"/>
      <c r="W63" s="2"/>
      <c r="X63" s="2">
        <f t="shared" si="2"/>
        <v>-1729.77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"4200", " - ", "TAXABLE RETURNS")</f>
        <v xml:space="preserve">          4200 - TAXABLE RETURNS</v>
      </c>
      <c r="C64" s="11"/>
      <c r="D64" s="2">
        <f>-42133.25</f>
        <v>-42133.25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-42133.25</v>
      </c>
      <c r="M64" s="2"/>
      <c r="N64" s="19">
        <f t="shared" si="1"/>
        <v>0</v>
      </c>
      <c r="O64" s="11"/>
      <c r="P64" s="2">
        <f>-170760.32</f>
        <v>-170760.32000000001</v>
      </c>
      <c r="Q64" s="2"/>
      <c r="R64" s="19"/>
      <c r="S64" s="2"/>
      <c r="T64" s="2">
        <f>0</f>
        <v>0</v>
      </c>
      <c r="U64" s="2"/>
      <c r="V64" s="19"/>
      <c r="W64" s="2"/>
      <c r="X64" s="2">
        <f t="shared" si="2"/>
        <v>-170760.32000000001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"4201", " - ", "SALES RETURN TAXABLE-NEW TEXT")</f>
        <v xml:space="preserve">          4201 - SALES RETURN TAXABLE-NEW TEXT</v>
      </c>
      <c r="C65" s="11"/>
      <c r="D65" s="2">
        <f t="shared" ref="D65:D81" si="12">0</f>
        <v>0</v>
      </c>
      <c r="E65" s="2"/>
      <c r="F65" s="19"/>
      <c r="G65" s="2"/>
      <c r="H65" s="2">
        <f>-1512.25</f>
        <v>-1512.25</v>
      </c>
      <c r="I65" s="2"/>
      <c r="J65" s="19"/>
      <c r="K65" s="2"/>
      <c r="L65" s="2">
        <f t="shared" si="0"/>
        <v>1512.25</v>
      </c>
      <c r="M65" s="2"/>
      <c r="N65" s="19">
        <f t="shared" si="1"/>
        <v>-1</v>
      </c>
      <c r="O65" s="11"/>
      <c r="P65" s="2">
        <f t="shared" ref="P65:P81" si="13">0</f>
        <v>0</v>
      </c>
      <c r="Q65" s="2"/>
      <c r="R65" s="19"/>
      <c r="S65" s="2"/>
      <c r="T65" s="2">
        <f>-33761.24</f>
        <v>-33761.24</v>
      </c>
      <c r="U65" s="2"/>
      <c r="V65" s="19"/>
      <c r="W65" s="2"/>
      <c r="X65" s="2">
        <f t="shared" si="2"/>
        <v>33761.24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"4202", " - ", "SALES RETURN TAXABLE-USED TEXT")</f>
        <v xml:space="preserve">          4202 - SALES RETURN TAXABLE-USED TEXT</v>
      </c>
      <c r="C66" s="11"/>
      <c r="D66" s="2">
        <f t="shared" si="12"/>
        <v>0</v>
      </c>
      <c r="E66" s="2"/>
      <c r="F66" s="19"/>
      <c r="G66" s="2"/>
      <c r="H66" s="2">
        <f>-136.05</f>
        <v>-136.05000000000001</v>
      </c>
      <c r="I66" s="2"/>
      <c r="J66" s="19"/>
      <c r="K66" s="2"/>
      <c r="L66" s="2">
        <f t="shared" si="0"/>
        <v>136.05000000000001</v>
      </c>
      <c r="M66" s="2"/>
      <c r="N66" s="19">
        <f t="shared" si="1"/>
        <v>-1</v>
      </c>
      <c r="O66" s="11"/>
      <c r="P66" s="2">
        <f t="shared" si="13"/>
        <v>0</v>
      </c>
      <c r="Q66" s="2"/>
      <c r="R66" s="19"/>
      <c r="S66" s="2"/>
      <c r="T66" s="2">
        <f>-10529</f>
        <v>-10529</v>
      </c>
      <c r="U66" s="2"/>
      <c r="V66" s="19"/>
      <c r="W66" s="2"/>
      <c r="X66" s="2">
        <f t="shared" si="2"/>
        <v>10529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"4204", " - ", "SALES RETURN TAXABLE-DIGITAL T")</f>
        <v xml:space="preserve">          4204 - SALES RETURN TAXABLE-DIGITAL T</v>
      </c>
      <c r="C67" s="11"/>
      <c r="D67" s="2">
        <f t="shared" si="12"/>
        <v>0</v>
      </c>
      <c r="E67" s="2"/>
      <c r="F67" s="19"/>
      <c r="G67" s="2"/>
      <c r="H67" s="2">
        <f>-383.9</f>
        <v>-383.9</v>
      </c>
      <c r="I67" s="2"/>
      <c r="J67" s="19"/>
      <c r="K67" s="2"/>
      <c r="L67" s="2">
        <f t="shared" si="0"/>
        <v>383.9</v>
      </c>
      <c r="M67" s="2"/>
      <c r="N67" s="19">
        <f t="shared" si="1"/>
        <v>-1</v>
      </c>
      <c r="O67" s="11"/>
      <c r="P67" s="2">
        <f t="shared" si="13"/>
        <v>0</v>
      </c>
      <c r="Q67" s="2"/>
      <c r="R67" s="19"/>
      <c r="S67" s="2"/>
      <c r="T67" s="2">
        <f>-1630.85</f>
        <v>-1630.85</v>
      </c>
      <c r="U67" s="2"/>
      <c r="V67" s="19"/>
      <c r="W67" s="2"/>
      <c r="X67" s="2">
        <f t="shared" si="2"/>
        <v>1630.85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"4226", " - ", "SALES RETURN TAXABLE-WRITING I")</f>
        <v xml:space="preserve">          4226 - SALES RETURN TAXABLE-WRITING I</v>
      </c>
      <c r="C68" s="11"/>
      <c r="D68" s="2">
        <f t="shared" si="12"/>
        <v>0</v>
      </c>
      <c r="E68" s="2"/>
      <c r="F68" s="19"/>
      <c r="G68" s="2"/>
      <c r="H68" s="2">
        <f>-5.36</f>
        <v>-5.36</v>
      </c>
      <c r="I68" s="2"/>
      <c r="J68" s="19"/>
      <c r="K68" s="2"/>
      <c r="L68" s="2">
        <f t="shared" si="0"/>
        <v>5.36</v>
      </c>
      <c r="M68" s="2"/>
      <c r="N68" s="19">
        <f t="shared" si="1"/>
        <v>-1</v>
      </c>
      <c r="O68" s="11"/>
      <c r="P68" s="2">
        <f t="shared" si="13"/>
        <v>0</v>
      </c>
      <c r="Q68" s="2"/>
      <c r="R68" s="19"/>
      <c r="S68" s="2"/>
      <c r="T68" s="2">
        <f>-34.23</f>
        <v>-34.229999999999997</v>
      </c>
      <c r="U68" s="2"/>
      <c r="V68" s="19"/>
      <c r="W68" s="2"/>
      <c r="X68" s="2">
        <f t="shared" si="2"/>
        <v>34.229999999999997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"4227", " - ", "SALES RETURN TAXABLE-SCHOOL SU")</f>
        <v xml:space="preserve">          4227 - SALES RETURN TAXABLE-SCHOOL SU</v>
      </c>
      <c r="C69" s="11"/>
      <c r="D69" s="2">
        <f t="shared" si="12"/>
        <v>0</v>
      </c>
      <c r="E69" s="2"/>
      <c r="F69" s="19"/>
      <c r="G69" s="2"/>
      <c r="H69" s="2">
        <f>-9.99</f>
        <v>-9.99</v>
      </c>
      <c r="I69" s="2"/>
      <c r="J69" s="19"/>
      <c r="K69" s="2"/>
      <c r="L69" s="2">
        <f t="shared" si="0"/>
        <v>9.99</v>
      </c>
      <c r="M69" s="2"/>
      <c r="N69" s="19">
        <f t="shared" si="1"/>
        <v>-1</v>
      </c>
      <c r="O69" s="11"/>
      <c r="P69" s="2">
        <f t="shared" si="13"/>
        <v>0</v>
      </c>
      <c r="Q69" s="2"/>
      <c r="R69" s="19"/>
      <c r="S69" s="2"/>
      <c r="T69" s="2">
        <f>-578.66</f>
        <v>-578.66</v>
      </c>
      <c r="U69" s="2"/>
      <c r="V69" s="19"/>
      <c r="W69" s="2"/>
      <c r="X69" s="2">
        <f t="shared" si="2"/>
        <v>578.66</v>
      </c>
      <c r="Y69" s="2"/>
      <c r="Z69" s="19">
        <f t="shared" si="3"/>
        <v>-1</v>
      </c>
    </row>
    <row r="70" spans="1:26" s="24" customFormat="1" hidden="1" outlineLevel="1" x14ac:dyDescent="0.25">
      <c r="A70" s="44"/>
      <c r="B70" s="11" t="str">
        <f>CONCATENATE("          ", "4228", " - ", "SALES RETURN TAXABLE-ART/TECH")</f>
        <v xml:space="preserve">          4228 - SALES RETURN TAXABLE-ART/TECH</v>
      </c>
      <c r="C70" s="11"/>
      <c r="D70" s="2">
        <f t="shared" si="12"/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 t="shared" si="13"/>
        <v>0</v>
      </c>
      <c r="Q70" s="2"/>
      <c r="R70" s="19"/>
      <c r="S70" s="2"/>
      <c r="T70" s="2">
        <f>-222.2</f>
        <v>-222.2</v>
      </c>
      <c r="U70" s="2"/>
      <c r="V70" s="19"/>
      <c r="W70" s="2"/>
      <c r="X70" s="2">
        <f t="shared" si="2"/>
        <v>222.2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"4240", " - ", "SALES RETURN TAXABLE-LOGO CLOT")</f>
        <v xml:space="preserve">          4240 - SALES RETURN TAXABLE-LOGO CLOT</v>
      </c>
      <c r="C71" s="11"/>
      <c r="D71" s="2">
        <f t="shared" si="12"/>
        <v>0</v>
      </c>
      <c r="E71" s="2"/>
      <c r="F71" s="19"/>
      <c r="G71" s="2"/>
      <c r="H71" s="2">
        <f>-2239.56</f>
        <v>-2239.56</v>
      </c>
      <c r="I71" s="2"/>
      <c r="J71" s="19"/>
      <c r="K71" s="2"/>
      <c r="L71" s="2">
        <f t="shared" si="0"/>
        <v>2239.56</v>
      </c>
      <c r="M71" s="2"/>
      <c r="N71" s="19">
        <f t="shared" si="1"/>
        <v>-1</v>
      </c>
      <c r="O71" s="11"/>
      <c r="P71" s="2">
        <f t="shared" si="13"/>
        <v>0</v>
      </c>
      <c r="Q71" s="2"/>
      <c r="R71" s="19"/>
      <c r="S71" s="2"/>
      <c r="T71" s="2">
        <f>-13849.52</f>
        <v>-13849.52</v>
      </c>
      <c r="U71" s="2"/>
      <c r="V71" s="19"/>
      <c r="W71" s="2"/>
      <c r="X71" s="2">
        <f t="shared" si="2"/>
        <v>13849.52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"4241", " - ", "SALES RETURN TAXABLE-LOGO GIFT")</f>
        <v xml:space="preserve">          4241 - SALES RETURN TAXABLE-LOGO GIFT</v>
      </c>
      <c r="C72" s="11"/>
      <c r="D72" s="2">
        <f t="shared" si="12"/>
        <v>0</v>
      </c>
      <c r="E72" s="2"/>
      <c r="F72" s="19"/>
      <c r="G72" s="2"/>
      <c r="H72" s="2">
        <f>-379.45</f>
        <v>-379.45</v>
      </c>
      <c r="I72" s="2"/>
      <c r="J72" s="19"/>
      <c r="K72" s="2"/>
      <c r="L72" s="2">
        <f t="shared" si="0"/>
        <v>379.45</v>
      </c>
      <c r="M72" s="2"/>
      <c r="N72" s="19">
        <f t="shared" si="1"/>
        <v>-1</v>
      </c>
      <c r="O72" s="11"/>
      <c r="P72" s="2">
        <f t="shared" si="13"/>
        <v>0</v>
      </c>
      <c r="Q72" s="2"/>
      <c r="R72" s="19"/>
      <c r="S72" s="2"/>
      <c r="T72" s="2">
        <f>-2696.56</f>
        <v>-2696.56</v>
      </c>
      <c r="U72" s="2"/>
      <c r="V72" s="19"/>
      <c r="W72" s="2"/>
      <c r="X72" s="2">
        <f t="shared" si="2"/>
        <v>2696.56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"4242", " - ", "SALES RETURN TAXABLE-EVERYDAY")</f>
        <v xml:space="preserve">          4242 - SALES RETURN TAXABLE-EVERYDAY</v>
      </c>
      <c r="C73" s="11"/>
      <c r="D73" s="2">
        <f t="shared" si="12"/>
        <v>0</v>
      </c>
      <c r="E73" s="2"/>
      <c r="F73" s="19"/>
      <c r="G73" s="2"/>
      <c r="H73" s="2">
        <f>-266.95</f>
        <v>-266.95</v>
      </c>
      <c r="I73" s="2"/>
      <c r="J73" s="19"/>
      <c r="K73" s="2"/>
      <c r="L73" s="2">
        <f t="shared" si="0"/>
        <v>266.95</v>
      </c>
      <c r="M73" s="2"/>
      <c r="N73" s="19">
        <f t="shared" si="1"/>
        <v>-1</v>
      </c>
      <c r="O73" s="11"/>
      <c r="P73" s="2">
        <f t="shared" si="13"/>
        <v>0</v>
      </c>
      <c r="Q73" s="2"/>
      <c r="R73" s="19"/>
      <c r="S73" s="2"/>
      <c r="T73" s="2">
        <f>-1321.51</f>
        <v>-1321.51</v>
      </c>
      <c r="U73" s="2"/>
      <c r="V73" s="19"/>
      <c r="W73" s="2"/>
      <c r="X73" s="2">
        <f t="shared" si="2"/>
        <v>1321.51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"4243", " - ", "SALES RETURN TAXABLE-CARDS")</f>
        <v xml:space="preserve">          4243 - SALES RETURN TAXABLE-CARDS</v>
      </c>
      <c r="C74" s="11"/>
      <c r="D74" s="2">
        <f t="shared" si="12"/>
        <v>0</v>
      </c>
      <c r="E74" s="2"/>
      <c r="F74" s="19"/>
      <c r="G74" s="2"/>
      <c r="H74" s="2">
        <f>-829.55</f>
        <v>-829.55</v>
      </c>
      <c r="I74" s="2"/>
      <c r="J74" s="19"/>
      <c r="K74" s="2"/>
      <c r="L74" s="2">
        <f t="shared" si="0"/>
        <v>829.55</v>
      </c>
      <c r="M74" s="2"/>
      <c r="N74" s="19">
        <f t="shared" si="1"/>
        <v>-1</v>
      </c>
      <c r="O74" s="11"/>
      <c r="P74" s="2">
        <f t="shared" si="13"/>
        <v>0</v>
      </c>
      <c r="Q74" s="2"/>
      <c r="R74" s="19"/>
      <c r="S74" s="2"/>
      <c r="T74" s="2">
        <f>-982.92</f>
        <v>-982.92</v>
      </c>
      <c r="U74" s="2"/>
      <c r="V74" s="19"/>
      <c r="W74" s="2"/>
      <c r="X74" s="2">
        <f t="shared" si="2"/>
        <v>982.92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"4244", " - ", "SALES RETURN TAXABLE-ACCESSORI")</f>
        <v xml:space="preserve">          4244 - SALES RETURN TAXABLE-ACCESSORI</v>
      </c>
      <c r="C75" s="11"/>
      <c r="D75" s="2">
        <f t="shared" si="12"/>
        <v>0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 t="shared" si="13"/>
        <v>0</v>
      </c>
      <c r="Q75" s="2"/>
      <c r="R75" s="19"/>
      <c r="S75" s="2"/>
      <c r="T75" s="2">
        <f>-410.99</f>
        <v>-410.99</v>
      </c>
      <c r="U75" s="2"/>
      <c r="V75" s="19"/>
      <c r="W75" s="2"/>
      <c r="X75" s="2">
        <f t="shared" si="2"/>
        <v>410.99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"4245", " - ", "SALES RETURN TAXABLE-SPECIAL O")</f>
        <v xml:space="preserve">          4245 - SALES RETURN TAXABLE-SPECIAL O</v>
      </c>
      <c r="C76" s="11"/>
      <c r="D76" s="2">
        <f t="shared" si="12"/>
        <v>0</v>
      </c>
      <c r="E76" s="2"/>
      <c r="F76" s="19"/>
      <c r="G76" s="2"/>
      <c r="H76" s="2">
        <f>-363.98</f>
        <v>-363.98</v>
      </c>
      <c r="I76" s="2"/>
      <c r="J76" s="19"/>
      <c r="K76" s="2"/>
      <c r="L76" s="2">
        <f t="shared" si="0"/>
        <v>363.98</v>
      </c>
      <c r="M76" s="2"/>
      <c r="N76" s="19">
        <f t="shared" si="1"/>
        <v>-1</v>
      </c>
      <c r="O76" s="11"/>
      <c r="P76" s="2">
        <f t="shared" si="13"/>
        <v>0</v>
      </c>
      <c r="Q76" s="2"/>
      <c r="R76" s="19"/>
      <c r="S76" s="2"/>
      <c r="T76" s="2">
        <f>-1546.93</f>
        <v>-1546.93</v>
      </c>
      <c r="U76" s="2"/>
      <c r="V76" s="19"/>
      <c r="W76" s="2"/>
      <c r="X76" s="2">
        <f t="shared" si="2"/>
        <v>1546.93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"4281", " - ", "SALES RETURN TAXABLE-ELECTRONI")</f>
        <v xml:space="preserve">          4281 - SALES RETURN TAXABLE-ELECTRONI</v>
      </c>
      <c r="C77" s="11"/>
      <c r="D77" s="2">
        <f t="shared" si="12"/>
        <v>0</v>
      </c>
      <c r="E77" s="2"/>
      <c r="F77" s="19"/>
      <c r="G77" s="2"/>
      <c r="H77" s="2">
        <f>-357.99</f>
        <v>-357.99</v>
      </c>
      <c r="I77" s="2"/>
      <c r="J77" s="19"/>
      <c r="K77" s="2"/>
      <c r="L77" s="2">
        <f t="shared" si="0"/>
        <v>357.99</v>
      </c>
      <c r="M77" s="2"/>
      <c r="N77" s="19">
        <f t="shared" si="1"/>
        <v>-1</v>
      </c>
      <c r="O77" s="11"/>
      <c r="P77" s="2">
        <f t="shared" si="13"/>
        <v>0</v>
      </c>
      <c r="Q77" s="2"/>
      <c r="R77" s="19"/>
      <c r="S77" s="2"/>
      <c r="T77" s="2">
        <f>-14632.15</f>
        <v>-14632.15</v>
      </c>
      <c r="U77" s="2"/>
      <c r="V77" s="19"/>
      <c r="W77" s="2"/>
      <c r="X77" s="2">
        <f t="shared" si="2"/>
        <v>14632.15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"4282", " - ", "SALES RETURN TAXABLE-COMPUTER")</f>
        <v xml:space="preserve">          4282 - SALES RETURN TAXABLE-COMPUTER</v>
      </c>
      <c r="C78" s="11"/>
      <c r="D78" s="2">
        <f t="shared" si="12"/>
        <v>0</v>
      </c>
      <c r="E78" s="2"/>
      <c r="F78" s="19"/>
      <c r="G78" s="2"/>
      <c r="H78" s="2">
        <f>-20038</f>
        <v>-20038</v>
      </c>
      <c r="I78" s="2"/>
      <c r="J78" s="19"/>
      <c r="K78" s="2"/>
      <c r="L78" s="2">
        <f t="shared" si="0"/>
        <v>20038</v>
      </c>
      <c r="M78" s="2"/>
      <c r="N78" s="19">
        <f t="shared" si="1"/>
        <v>-1</v>
      </c>
      <c r="O78" s="11"/>
      <c r="P78" s="2">
        <f t="shared" si="13"/>
        <v>0</v>
      </c>
      <c r="Q78" s="2"/>
      <c r="R78" s="19"/>
      <c r="S78" s="2"/>
      <c r="T78" s="2">
        <f>-68323</f>
        <v>-68323</v>
      </c>
      <c r="U78" s="2"/>
      <c r="V78" s="19"/>
      <c r="W78" s="2"/>
      <c r="X78" s="2">
        <f t="shared" si="2"/>
        <v>68323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"4283", " - ", "SALES RETURN TAXABLE-COMPUTER")</f>
        <v xml:space="preserve">          4283 - SALES RETURN TAXABLE-COMPUTER</v>
      </c>
      <c r="C79" s="11"/>
      <c r="D79" s="2">
        <f t="shared" si="12"/>
        <v>0</v>
      </c>
      <c r="E79" s="2"/>
      <c r="F79" s="19"/>
      <c r="G79" s="2"/>
      <c r="H79" s="2">
        <f>-629.58</f>
        <v>-629.58000000000004</v>
      </c>
      <c r="I79" s="2"/>
      <c r="J79" s="19"/>
      <c r="K79" s="2"/>
      <c r="L79" s="2">
        <f t="shared" si="0"/>
        <v>629.58000000000004</v>
      </c>
      <c r="M79" s="2"/>
      <c r="N79" s="19">
        <f t="shared" si="1"/>
        <v>-1</v>
      </c>
      <c r="O79" s="11"/>
      <c r="P79" s="2">
        <f t="shared" si="13"/>
        <v>0</v>
      </c>
      <c r="Q79" s="2"/>
      <c r="R79" s="19"/>
      <c r="S79" s="2"/>
      <c r="T79" s="2">
        <f>-2632.31</f>
        <v>-2632.31</v>
      </c>
      <c r="U79" s="2"/>
      <c r="V79" s="19"/>
      <c r="W79" s="2"/>
      <c r="X79" s="2">
        <f t="shared" si="2"/>
        <v>2632.31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"4285", " - ", "SALES RETURN TAXABLE-SOFTWARE")</f>
        <v xml:space="preserve">          4285 - SALES RETURN TAXABLE-SOFTWARE</v>
      </c>
      <c r="C80" s="11"/>
      <c r="D80" s="2">
        <f t="shared" si="12"/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13"/>
        <v>0</v>
      </c>
      <c r="Q80" s="2"/>
      <c r="R80" s="19"/>
      <c r="S80" s="2"/>
      <c r="T80" s="2">
        <f>-552.98</f>
        <v>-552.98</v>
      </c>
      <c r="U80" s="2"/>
      <c r="V80" s="19"/>
      <c r="W80" s="2"/>
      <c r="X80" s="2">
        <f t="shared" si="2"/>
        <v>552.98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"4286", " - ", "SALES RETURN TAXABLE-COMPUTER")</f>
        <v xml:space="preserve">          4286 - SALES RETURN TAXABLE-COMPUTER</v>
      </c>
      <c r="C81" s="11"/>
      <c r="D81" s="2">
        <f t="shared" si="12"/>
        <v>0</v>
      </c>
      <c r="E81" s="2"/>
      <c r="F81" s="19"/>
      <c r="G81" s="2"/>
      <c r="H81" s="2">
        <f>-158.96</f>
        <v>-158.96</v>
      </c>
      <c r="I81" s="2"/>
      <c r="J81" s="19"/>
      <c r="K81" s="2"/>
      <c r="L81" s="2">
        <f t="shared" si="0"/>
        <v>158.96</v>
      </c>
      <c r="M81" s="2"/>
      <c r="N81" s="19">
        <f t="shared" si="1"/>
        <v>-1</v>
      </c>
      <c r="O81" s="11"/>
      <c r="P81" s="2">
        <f t="shared" si="13"/>
        <v>0</v>
      </c>
      <c r="Q81" s="2"/>
      <c r="R81" s="19"/>
      <c r="S81" s="2"/>
      <c r="T81" s="2">
        <f>-571.36</f>
        <v>-571.36</v>
      </c>
      <c r="U81" s="2"/>
      <c r="V81" s="19"/>
      <c r="W81" s="2"/>
      <c r="X81" s="2">
        <f t="shared" si="2"/>
        <v>571.36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"4300", " - ", "NON-TAX RETURNS")</f>
        <v xml:space="preserve">          4300 - NON-TAX RETURNS</v>
      </c>
      <c r="C82" s="11"/>
      <c r="D82" s="2">
        <f>-5693.23</f>
        <v>-5693.23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-5693.23</v>
      </c>
      <c r="M82" s="2"/>
      <c r="N82" s="19">
        <f t="shared" si="1"/>
        <v>0</v>
      </c>
      <c r="O82" s="11"/>
      <c r="P82" s="2">
        <f>-26489.27</f>
        <v>-26489.27</v>
      </c>
      <c r="Q82" s="2"/>
      <c r="R82" s="19"/>
      <c r="S82" s="2"/>
      <c r="T82" s="2">
        <f>0</f>
        <v>0</v>
      </c>
      <c r="U82" s="2"/>
      <c r="V82" s="19"/>
      <c r="W82" s="2"/>
      <c r="X82" s="2">
        <f t="shared" si="2"/>
        <v>-26489.27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"4301", " - ", "SALES RETURN NON TAXABLE-NEW T")</f>
        <v xml:space="preserve">          4301 - SALES RETURN NON TAXABLE-NEW T</v>
      </c>
      <c r="C83" s="11"/>
      <c r="D83" s="2">
        <f t="shared" ref="D83:D89" si="14">0</f>
        <v>0</v>
      </c>
      <c r="E83" s="2"/>
      <c r="F83" s="19"/>
      <c r="G83" s="2"/>
      <c r="H83" s="2">
        <f>-535.49</f>
        <v>-535.49</v>
      </c>
      <c r="I83" s="2"/>
      <c r="J83" s="19"/>
      <c r="K83" s="2"/>
      <c r="L83" s="2">
        <f t="shared" si="0"/>
        <v>535.49</v>
      </c>
      <c r="M83" s="2"/>
      <c r="N83" s="19">
        <f t="shared" si="1"/>
        <v>-1</v>
      </c>
      <c r="O83" s="11"/>
      <c r="P83" s="2">
        <f t="shared" ref="P83:P89" si="15">0</f>
        <v>0</v>
      </c>
      <c r="Q83" s="2"/>
      <c r="R83" s="19"/>
      <c r="S83" s="2"/>
      <c r="T83" s="2">
        <f>-2376.17</f>
        <v>-2376.17</v>
      </c>
      <c r="U83" s="2"/>
      <c r="V83" s="19"/>
      <c r="W83" s="2"/>
      <c r="X83" s="2">
        <f t="shared" si="2"/>
        <v>2376.17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"4302", " - ", "SALES RETURN NON TAXABLE-TEXT")</f>
        <v xml:space="preserve">          4302 - SALES RETURN NON TAXABLE-TEXT</v>
      </c>
      <c r="C84" s="11"/>
      <c r="D84" s="2">
        <f t="shared" si="14"/>
        <v>0</v>
      </c>
      <c r="E84" s="2"/>
      <c r="F84" s="19"/>
      <c r="G84" s="2"/>
      <c r="H84" s="2">
        <f>-169.72</f>
        <v>-169.72</v>
      </c>
      <c r="I84" s="2"/>
      <c r="J84" s="19"/>
      <c r="K84" s="2"/>
      <c r="L84" s="2">
        <f t="shared" si="0"/>
        <v>169.72</v>
      </c>
      <c r="M84" s="2"/>
      <c r="N84" s="19">
        <f t="shared" si="1"/>
        <v>-1</v>
      </c>
      <c r="O84" s="11"/>
      <c r="P84" s="2">
        <f t="shared" si="15"/>
        <v>0</v>
      </c>
      <c r="Q84" s="2"/>
      <c r="R84" s="19"/>
      <c r="S84" s="2"/>
      <c r="T84" s="2">
        <f>-1316.8</f>
        <v>-1316.8</v>
      </c>
      <c r="U84" s="2"/>
      <c r="V84" s="19"/>
      <c r="W84" s="2"/>
      <c r="X84" s="2">
        <f t="shared" si="2"/>
        <v>1316.8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"4304", " - ", "SALES RETURN NON TAXABLE-DIGIT")</f>
        <v xml:space="preserve">          4304 - SALES RETURN NON TAXABLE-DIGIT</v>
      </c>
      <c r="C85" s="11"/>
      <c r="D85" s="2">
        <f t="shared" si="14"/>
        <v>0</v>
      </c>
      <c r="E85" s="2"/>
      <c r="F85" s="19"/>
      <c r="G85" s="2"/>
      <c r="H85" s="2">
        <f>-692.75</f>
        <v>-692.75</v>
      </c>
      <c r="I85" s="2"/>
      <c r="J85" s="19"/>
      <c r="K85" s="2"/>
      <c r="L85" s="2">
        <f t="shared" si="0"/>
        <v>692.75</v>
      </c>
      <c r="M85" s="2"/>
      <c r="N85" s="19">
        <f t="shared" si="1"/>
        <v>-1</v>
      </c>
      <c r="O85" s="11"/>
      <c r="P85" s="2">
        <f t="shared" si="15"/>
        <v>0</v>
      </c>
      <c r="Q85" s="2"/>
      <c r="R85" s="19"/>
      <c r="S85" s="2"/>
      <c r="T85" s="2">
        <f>-14102.11</f>
        <v>-14102.11</v>
      </c>
      <c r="U85" s="2"/>
      <c r="V85" s="19"/>
      <c r="W85" s="2"/>
      <c r="X85" s="2">
        <f t="shared" si="2"/>
        <v>14102.11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"4340", " - ", "SALES RETURN NON TAXABLE-LOGO")</f>
        <v xml:space="preserve">          4340 - SALES RETURN NON TAXABLE-LOGO</v>
      </c>
      <c r="C86" s="11"/>
      <c r="D86" s="2">
        <f t="shared" si="14"/>
        <v>0</v>
      </c>
      <c r="E86" s="2"/>
      <c r="F86" s="19"/>
      <c r="G86" s="2"/>
      <c r="H86" s="2">
        <f>-195.69</f>
        <v>-195.69</v>
      </c>
      <c r="I86" s="2"/>
      <c r="J86" s="19"/>
      <c r="K86" s="2"/>
      <c r="L86" s="2">
        <f t="shared" si="0"/>
        <v>195.69</v>
      </c>
      <c r="M86" s="2"/>
      <c r="N86" s="19">
        <f t="shared" si="1"/>
        <v>-1</v>
      </c>
      <c r="O86" s="11"/>
      <c r="P86" s="2">
        <f t="shared" si="15"/>
        <v>0</v>
      </c>
      <c r="Q86" s="2"/>
      <c r="R86" s="19"/>
      <c r="S86" s="2"/>
      <c r="T86" s="2">
        <f>-736.73</f>
        <v>-736.73</v>
      </c>
      <c r="U86" s="2"/>
      <c r="V86" s="19"/>
      <c r="W86" s="2"/>
      <c r="X86" s="2">
        <f t="shared" si="2"/>
        <v>736.73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"4341", " - ", "SALES RETURN NON TAXABLE-LOGO")</f>
        <v xml:space="preserve">          4341 - SALES RETURN NON TAXABLE-LOGO</v>
      </c>
      <c r="C87" s="11"/>
      <c r="D87" s="2">
        <f t="shared" si="14"/>
        <v>0</v>
      </c>
      <c r="E87" s="2"/>
      <c r="F87" s="19"/>
      <c r="G87" s="2"/>
      <c r="H87" s="2">
        <f t="shared" ref="H87:H90" si="16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 t="shared" si="15"/>
        <v>0</v>
      </c>
      <c r="Q87" s="2"/>
      <c r="R87" s="19"/>
      <c r="S87" s="2"/>
      <c r="T87" s="2">
        <f>-146.9</f>
        <v>-146.9</v>
      </c>
      <c r="U87" s="2"/>
      <c r="V87" s="19"/>
      <c r="W87" s="2"/>
      <c r="X87" s="2">
        <f t="shared" si="2"/>
        <v>146.9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"4342", " - ", "SALES RETURN NON TAXABLE-EVERY")</f>
        <v xml:space="preserve">          4342 - SALES RETURN NON TAXABLE-EVERY</v>
      </c>
      <c r="C88" s="11"/>
      <c r="D88" s="2">
        <f t="shared" si="14"/>
        <v>0</v>
      </c>
      <c r="E88" s="2"/>
      <c r="F88" s="19"/>
      <c r="G88" s="2"/>
      <c r="H88" s="2">
        <f t="shared" si="16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 t="shared" si="15"/>
        <v>0</v>
      </c>
      <c r="Q88" s="2"/>
      <c r="R88" s="19"/>
      <c r="S88" s="2"/>
      <c r="T88" s="2">
        <f>-118.7</f>
        <v>-118.7</v>
      </c>
      <c r="U88" s="2"/>
      <c r="V88" s="19"/>
      <c r="W88" s="2"/>
      <c r="X88" s="2">
        <f t="shared" si="2"/>
        <v>118.7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"4381", " - ", "SALES RETURN NON TAXABLE-ELECT")</f>
        <v xml:space="preserve">          4381 - SALES RETURN NON TAXABLE-ELECT</v>
      </c>
      <c r="C89" s="11"/>
      <c r="D89" s="2">
        <f t="shared" si="14"/>
        <v>0</v>
      </c>
      <c r="E89" s="2"/>
      <c r="F89" s="19"/>
      <c r="G89" s="2"/>
      <c r="H89" s="2">
        <f t="shared" si="16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5"/>
        <v>0</v>
      </c>
      <c r="Q89" s="2"/>
      <c r="R89" s="19"/>
      <c r="S89" s="2"/>
      <c r="T89" s="2">
        <f>-5624.15</f>
        <v>-5624.15</v>
      </c>
      <c r="U89" s="2"/>
      <c r="V89" s="19"/>
      <c r="W89" s="2"/>
      <c r="X89" s="2">
        <f t="shared" si="2"/>
        <v>5624.15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"4500", " - ", "SALES DISCOUNT")</f>
        <v xml:space="preserve">          4500 - SALES DISCOUNT</v>
      </c>
      <c r="C90" s="11"/>
      <c r="D90" s="2">
        <f>-7663.09</f>
        <v>-7663.09</v>
      </c>
      <c r="E90" s="2"/>
      <c r="F90" s="19"/>
      <c r="G90" s="2"/>
      <c r="H90" s="2">
        <f t="shared" si="16"/>
        <v>0</v>
      </c>
      <c r="I90" s="2"/>
      <c r="J90" s="19"/>
      <c r="K90" s="2"/>
      <c r="L90" s="2">
        <f t="shared" si="0"/>
        <v>-7663.09</v>
      </c>
      <c r="M90" s="2"/>
      <c r="N90" s="19">
        <f t="shared" si="1"/>
        <v>0</v>
      </c>
      <c r="O90" s="11"/>
      <c r="P90" s="2">
        <f>-7663.09</f>
        <v>-7663.09</v>
      </c>
      <c r="Q90" s="2"/>
      <c r="R90" s="19"/>
      <c r="S90" s="2"/>
      <c r="T90" s="2">
        <f>0</f>
        <v>0</v>
      </c>
      <c r="U90" s="2"/>
      <c r="V90" s="19"/>
      <c r="W90" s="2"/>
      <c r="X90" s="2">
        <f t="shared" si="2"/>
        <v>-7663.09</v>
      </c>
      <c r="Y90" s="2"/>
      <c r="Z90" s="19">
        <f t="shared" si="3"/>
        <v>0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collapsed="1" x14ac:dyDescent="0.25">
      <c r="A92" s="10"/>
      <c r="B92" s="25" t="s">
        <v>256</v>
      </c>
      <c r="C92" s="10"/>
      <c r="D92" s="4">
        <f>SUM(OSRRefD16x_0)</f>
        <v>438990.99000000005</v>
      </c>
      <c r="E92" s="4"/>
      <c r="F92" s="12">
        <f t="shared" ref="F92:F137" si="17">IF(D$12=0,0,D92/D$12)</f>
        <v>0.64799200500206955</v>
      </c>
      <c r="G92" s="4"/>
      <c r="H92" s="4">
        <f>SUM(OSRRefH16x_0)</f>
        <v>243193.50000000003</v>
      </c>
      <c r="I92" s="4"/>
      <c r="J92" s="12">
        <f t="shared" ref="J92:J137" si="18">IF(H$12=0,0,H92/H$12)</f>
        <v>0.73042963175120745</v>
      </c>
      <c r="K92" s="4"/>
      <c r="L92" s="4">
        <f t="shared" ref="L92:L137" si="19">+D92-H92</f>
        <v>195797.49000000002</v>
      </c>
      <c r="M92" s="4"/>
      <c r="N92" s="12">
        <f t="shared" ref="N92:N137" si="20">IF(H92=0,0,L92/H92)</f>
        <v>0.80510988163746156</v>
      </c>
      <c r="O92" s="10"/>
      <c r="P92" s="4">
        <f>SUM(OSRRefP16x_0)</f>
        <v>2435485.2399999998</v>
      </c>
      <c r="Q92" s="4"/>
      <c r="R92" s="12">
        <f t="shared" ref="R92:R137" si="21">IF(P$12=0,0,P92/P$12)</f>
        <v>0.6748835644912915</v>
      </c>
      <c r="S92" s="4"/>
      <c r="T92" s="4">
        <f>SUM(OSRRefT16x_0)</f>
        <v>2621704.9300000011</v>
      </c>
      <c r="U92" s="4"/>
      <c r="V92" s="12">
        <f t="shared" ref="V92:V137" si="22">IF(T$12=0,0,T92/T$12)</f>
        <v>0.75117648494299416</v>
      </c>
      <c r="W92" s="4"/>
      <c r="X92" s="4">
        <f t="shared" ref="X92:X137" si="23">+P92-T92</f>
        <v>-186219.69000000134</v>
      </c>
      <c r="Y92" s="4"/>
      <c r="Z92" s="12">
        <f t="shared" ref="Z92:Z137" si="24">IF(T92=0,0,X92/T92)</f>
        <v>-7.1029995736400911E-2</v>
      </c>
    </row>
    <row r="93" spans="1:26" s="24" customFormat="1" hidden="1" outlineLevel="1" x14ac:dyDescent="0.25">
      <c r="A93" s="44"/>
      <c r="B93" s="11" t="str">
        <f>CONCATENATE("          ", "5000", " - ", "PURCHASES @ COST")</f>
        <v xml:space="preserve">          5000 - PURCHASES @ COST</v>
      </c>
      <c r="C93" s="11"/>
      <c r="D93" s="2">
        <v>879528.49</v>
      </c>
      <c r="E93" s="2"/>
      <c r="F93" s="19">
        <f t="shared" si="17"/>
        <v>1.2982668042720935</v>
      </c>
      <c r="G93" s="2"/>
      <c r="H93" s="2">
        <v>0</v>
      </c>
      <c r="I93" s="2"/>
      <c r="J93" s="19">
        <f t="shared" si="18"/>
        <v>0</v>
      </c>
      <c r="K93" s="2"/>
      <c r="L93" s="2">
        <f t="shared" si="19"/>
        <v>879528.49</v>
      </c>
      <c r="M93" s="2"/>
      <c r="N93" s="19">
        <f t="shared" si="20"/>
        <v>0</v>
      </c>
      <c r="O93" s="11"/>
      <c r="P93" s="2">
        <v>3002989.31</v>
      </c>
      <c r="Q93" s="2"/>
      <c r="R93" s="19">
        <f t="shared" si="21"/>
        <v>0.83214141329061975</v>
      </c>
      <c r="S93" s="2"/>
      <c r="T93" s="2">
        <v>0</v>
      </c>
      <c r="U93" s="2"/>
      <c r="V93" s="19">
        <f t="shared" si="22"/>
        <v>0</v>
      </c>
      <c r="W93" s="2"/>
      <c r="X93" s="2">
        <f t="shared" si="23"/>
        <v>3002989.31</v>
      </c>
      <c r="Y93" s="2"/>
      <c r="Z93" s="19">
        <f t="shared" si="24"/>
        <v>0</v>
      </c>
    </row>
    <row r="94" spans="1:26" s="24" customFormat="1" hidden="1" outlineLevel="1" x14ac:dyDescent="0.25">
      <c r="A94" s="44"/>
      <c r="B94" s="11" t="str">
        <f>CONCATENATE("          ", "5001", " - ", "PURCHASES @ COST-NEW TEXT")</f>
        <v xml:space="preserve">          5001 - PURCHASES @ COST-NEW TEXT</v>
      </c>
      <c r="C94" s="11"/>
      <c r="D94" s="2">
        <v>0</v>
      </c>
      <c r="E94" s="2"/>
      <c r="F94" s="19">
        <f t="shared" si="17"/>
        <v>0</v>
      </c>
      <c r="G94" s="2"/>
      <c r="H94" s="2">
        <v>55775.07</v>
      </c>
      <c r="I94" s="2"/>
      <c r="J94" s="19">
        <f t="shared" si="18"/>
        <v>0.16751995362128433</v>
      </c>
      <c r="K94" s="2"/>
      <c r="L94" s="2">
        <f t="shared" si="19"/>
        <v>-55775.07</v>
      </c>
      <c r="M94" s="2"/>
      <c r="N94" s="19">
        <f t="shared" si="20"/>
        <v>-1</v>
      </c>
      <c r="O94" s="11"/>
      <c r="P94" s="2">
        <v>0</v>
      </c>
      <c r="Q94" s="2"/>
      <c r="R94" s="19">
        <f t="shared" si="21"/>
        <v>0</v>
      </c>
      <c r="S94" s="2"/>
      <c r="T94" s="2">
        <v>1349196.83</v>
      </c>
      <c r="U94" s="2"/>
      <c r="V94" s="19">
        <f t="shared" si="22"/>
        <v>0.38657475166575289</v>
      </c>
      <c r="W94" s="2"/>
      <c r="X94" s="2">
        <f t="shared" si="23"/>
        <v>-1349196.83</v>
      </c>
      <c r="Y94" s="2"/>
      <c r="Z94" s="19">
        <f t="shared" si="24"/>
        <v>-1</v>
      </c>
    </row>
    <row r="95" spans="1:26" s="24" customFormat="1" hidden="1" outlineLevel="1" x14ac:dyDescent="0.25">
      <c r="A95" s="44"/>
      <c r="B95" s="11" t="str">
        <f>CONCATENATE("          ", "5002", " - ", "PURCHASES @ COST-USED TEXT")</f>
        <v xml:space="preserve">          5002 - PURCHASES @ COST-USED TEXT</v>
      </c>
      <c r="C95" s="11"/>
      <c r="D95" s="2"/>
      <c r="E95" s="2"/>
      <c r="F95" s="19">
        <f t="shared" si="17"/>
        <v>0</v>
      </c>
      <c r="G95" s="2"/>
      <c r="H95" s="2">
        <v>6331.95</v>
      </c>
      <c r="I95" s="2"/>
      <c r="J95" s="19">
        <f t="shared" si="18"/>
        <v>1.9017958567013743E-2</v>
      </c>
      <c r="K95" s="2"/>
      <c r="L95" s="2">
        <f t="shared" si="19"/>
        <v>-6331.95</v>
      </c>
      <c r="M95" s="2"/>
      <c r="N95" s="19">
        <f t="shared" si="20"/>
        <v>-1</v>
      </c>
      <c r="O95" s="11"/>
      <c r="P95" s="2">
        <v>0</v>
      </c>
      <c r="Q95" s="2"/>
      <c r="R95" s="19">
        <f t="shared" si="21"/>
        <v>0</v>
      </c>
      <c r="S95" s="2"/>
      <c r="T95" s="2">
        <v>303063.33</v>
      </c>
      <c r="U95" s="2"/>
      <c r="V95" s="19">
        <f t="shared" si="22"/>
        <v>8.6834351318292174E-2</v>
      </c>
      <c r="W95" s="2"/>
      <c r="X95" s="2">
        <f t="shared" si="23"/>
        <v>-303063.33</v>
      </c>
      <c r="Y95" s="2"/>
      <c r="Z95" s="19">
        <f t="shared" si="24"/>
        <v>-1</v>
      </c>
    </row>
    <row r="96" spans="1:26" s="24" customFormat="1" hidden="1" outlineLevel="1" x14ac:dyDescent="0.25">
      <c r="A96" s="44"/>
      <c r="B96" s="11" t="str">
        <f>CONCATENATE("          ", "5003", " - ", "PURCHASES @ COST-RENTAL TEXT")</f>
        <v xml:space="preserve">          5003 - PURCHASES @ COST-RENTAL TEXT</v>
      </c>
      <c r="C96" s="11"/>
      <c r="D96" s="2"/>
      <c r="E96" s="2"/>
      <c r="F96" s="19">
        <f t="shared" si="17"/>
        <v>0</v>
      </c>
      <c r="G96" s="2"/>
      <c r="H96" s="2">
        <v>10600.69</v>
      </c>
      <c r="I96" s="2"/>
      <c r="J96" s="19">
        <f t="shared" si="18"/>
        <v>3.1839083252672075E-2</v>
      </c>
      <c r="K96" s="2"/>
      <c r="L96" s="2">
        <f t="shared" si="19"/>
        <v>-10600.69</v>
      </c>
      <c r="M96" s="2"/>
      <c r="N96" s="19">
        <f t="shared" si="20"/>
        <v>-1</v>
      </c>
      <c r="O96" s="11"/>
      <c r="P96" s="2"/>
      <c r="Q96" s="2"/>
      <c r="R96" s="19">
        <f t="shared" si="21"/>
        <v>0</v>
      </c>
      <c r="S96" s="2"/>
      <c r="T96" s="2">
        <v>-485.41</v>
      </c>
      <c r="U96" s="2"/>
      <c r="V96" s="19">
        <f t="shared" si="22"/>
        <v>-1.390807078949875E-4</v>
      </c>
      <c r="W96" s="2"/>
      <c r="X96" s="2">
        <f t="shared" si="23"/>
        <v>485.41</v>
      </c>
      <c r="Y96" s="2"/>
      <c r="Z96" s="19">
        <f t="shared" si="24"/>
        <v>-1</v>
      </c>
    </row>
    <row r="97" spans="1:26" s="24" customFormat="1" hidden="1" outlineLevel="1" x14ac:dyDescent="0.25">
      <c r="A97" s="44"/>
      <c r="B97" s="11" t="str">
        <f>CONCATENATE("          ", "5004", " - ", "PURCHASES @ COST-DIGITAL TEXT")</f>
        <v xml:space="preserve">          5004 - PURCHASES @ COST-DIGITAL TEXT</v>
      </c>
      <c r="C97" s="11"/>
      <c r="D97" s="2"/>
      <c r="E97" s="2"/>
      <c r="F97" s="19">
        <f t="shared" si="17"/>
        <v>0</v>
      </c>
      <c r="G97" s="2"/>
      <c r="H97" s="2">
        <v>12903.46</v>
      </c>
      <c r="I97" s="2"/>
      <c r="J97" s="19">
        <f t="shared" si="18"/>
        <v>3.8755433579090039E-2</v>
      </c>
      <c r="K97" s="2"/>
      <c r="L97" s="2">
        <f t="shared" si="19"/>
        <v>-12903.46</v>
      </c>
      <c r="M97" s="2"/>
      <c r="N97" s="19">
        <f t="shared" si="20"/>
        <v>-1</v>
      </c>
      <c r="O97" s="11"/>
      <c r="P97" s="2">
        <v>0</v>
      </c>
      <c r="Q97" s="2"/>
      <c r="R97" s="19">
        <f t="shared" si="21"/>
        <v>0</v>
      </c>
      <c r="S97" s="2"/>
      <c r="T97" s="2">
        <v>195519.53</v>
      </c>
      <c r="U97" s="2"/>
      <c r="V97" s="19">
        <f t="shared" si="22"/>
        <v>5.6020672503028876E-2</v>
      </c>
      <c r="W97" s="2"/>
      <c r="X97" s="2">
        <f t="shared" si="23"/>
        <v>-195519.53</v>
      </c>
      <c r="Y97" s="2"/>
      <c r="Z97" s="19">
        <f t="shared" si="24"/>
        <v>-1</v>
      </c>
    </row>
    <row r="98" spans="1:26" s="24" customFormat="1" hidden="1" outlineLevel="1" x14ac:dyDescent="0.25">
      <c r="A98" s="44"/>
      <c r="B98" s="11" t="str">
        <f>CONCATENATE("          ", "5011", " - ", "PURCHASES @ COST-NO VALUE TEXT")</f>
        <v xml:space="preserve">          5011 - PURCHASES @ COST-NO VALUE TEXT</v>
      </c>
      <c r="C98" s="11"/>
      <c r="D98" s="2"/>
      <c r="E98" s="2"/>
      <c r="F98" s="19">
        <f t="shared" si="17"/>
        <v>0</v>
      </c>
      <c r="G98" s="2"/>
      <c r="H98" s="2">
        <v>67.17</v>
      </c>
      <c r="I98" s="2"/>
      <c r="J98" s="19">
        <f t="shared" si="18"/>
        <v>2.0174453003360944E-4</v>
      </c>
      <c r="K98" s="2"/>
      <c r="L98" s="2">
        <f t="shared" si="19"/>
        <v>-67.17</v>
      </c>
      <c r="M98" s="2"/>
      <c r="N98" s="19">
        <f t="shared" si="20"/>
        <v>-1</v>
      </c>
      <c r="O98" s="11"/>
      <c r="P98" s="2"/>
      <c r="Q98" s="2"/>
      <c r="R98" s="19">
        <f t="shared" si="21"/>
        <v>0</v>
      </c>
      <c r="S98" s="2"/>
      <c r="T98" s="2">
        <v>67.17</v>
      </c>
      <c r="U98" s="2"/>
      <c r="V98" s="19">
        <f t="shared" si="22"/>
        <v>1.9245691578884471E-5</v>
      </c>
      <c r="W98" s="2"/>
      <c r="X98" s="2">
        <f t="shared" si="23"/>
        <v>-67.17</v>
      </c>
      <c r="Y98" s="2"/>
      <c r="Z98" s="19">
        <f t="shared" si="24"/>
        <v>-1</v>
      </c>
    </row>
    <row r="99" spans="1:26" s="24" customFormat="1" hidden="1" outlineLevel="1" x14ac:dyDescent="0.25">
      <c r="A99" s="44"/>
      <c r="B99" s="11" t="str">
        <f>CONCATENATE("          ", "5013", " - ", "PURCHASES @ COST-TRADE BOOKS")</f>
        <v xml:space="preserve">          5013 - PURCHASES @ COST-TRADE BOOKS</v>
      </c>
      <c r="C99" s="11"/>
      <c r="D99" s="2"/>
      <c r="E99" s="2"/>
      <c r="F99" s="19">
        <f t="shared" si="17"/>
        <v>0</v>
      </c>
      <c r="G99" s="2"/>
      <c r="H99" s="2">
        <v>1384.46</v>
      </c>
      <c r="I99" s="2"/>
      <c r="J99" s="19">
        <f t="shared" si="18"/>
        <v>4.1582139653168221E-3</v>
      </c>
      <c r="K99" s="2"/>
      <c r="L99" s="2">
        <f t="shared" si="19"/>
        <v>-1384.46</v>
      </c>
      <c r="M99" s="2"/>
      <c r="N99" s="19">
        <f t="shared" si="20"/>
        <v>-1</v>
      </c>
      <c r="O99" s="11"/>
      <c r="P99" s="2"/>
      <c r="Q99" s="2"/>
      <c r="R99" s="19">
        <f t="shared" si="21"/>
        <v>0</v>
      </c>
      <c r="S99" s="2"/>
      <c r="T99" s="2">
        <v>1483.64</v>
      </c>
      <c r="U99" s="2"/>
      <c r="V99" s="19">
        <f t="shared" si="22"/>
        <v>4.2509569531183795E-4</v>
      </c>
      <c r="W99" s="2"/>
      <c r="X99" s="2">
        <f t="shared" si="23"/>
        <v>-1483.64</v>
      </c>
      <c r="Y99" s="2"/>
      <c r="Z99" s="19">
        <f t="shared" si="24"/>
        <v>-1</v>
      </c>
    </row>
    <row r="100" spans="1:26" s="24" customFormat="1" hidden="1" outlineLevel="1" x14ac:dyDescent="0.25">
      <c r="A100" s="44"/>
      <c r="B100" s="11" t="str">
        <f>CONCATENATE("          ", "5014", " - ", "PURCHASES @ COST-REMAINDERS")</f>
        <v xml:space="preserve">          5014 - PURCHASES @ COST-REMAINDERS</v>
      </c>
      <c r="C100" s="11"/>
      <c r="D100" s="2"/>
      <c r="E100" s="2"/>
      <c r="F100" s="19">
        <f t="shared" si="17"/>
        <v>0</v>
      </c>
      <c r="G100" s="2"/>
      <c r="H100" s="2">
        <v>102.92</v>
      </c>
      <c r="I100" s="2"/>
      <c r="J100" s="19">
        <f t="shared" si="18"/>
        <v>3.0911935434061458E-4</v>
      </c>
      <c r="K100" s="2"/>
      <c r="L100" s="2">
        <f t="shared" si="19"/>
        <v>-102.92</v>
      </c>
      <c r="M100" s="2"/>
      <c r="N100" s="19">
        <f t="shared" si="20"/>
        <v>-1</v>
      </c>
      <c r="O100" s="11"/>
      <c r="P100" s="2"/>
      <c r="Q100" s="2"/>
      <c r="R100" s="19">
        <f t="shared" si="21"/>
        <v>0</v>
      </c>
      <c r="S100" s="2"/>
      <c r="T100" s="2">
        <v>90.41</v>
      </c>
      <c r="U100" s="2"/>
      <c r="V100" s="19">
        <f t="shared" si="22"/>
        <v>2.5904465917030591E-5</v>
      </c>
      <c r="W100" s="2"/>
      <c r="X100" s="2">
        <f t="shared" si="23"/>
        <v>-90.41</v>
      </c>
      <c r="Y100" s="2"/>
      <c r="Z100" s="19">
        <f t="shared" si="24"/>
        <v>-1</v>
      </c>
    </row>
    <row r="101" spans="1:26" s="24" customFormat="1" hidden="1" outlineLevel="1" x14ac:dyDescent="0.25">
      <c r="A101" s="44"/>
      <c r="B101" s="11" t="str">
        <f>CONCATENATE("          ", "5025", " - ", "PURCHASES @ COST-TEST FORMS")</f>
        <v xml:space="preserve">          5025 - PURCHASES @ COST-TEST FORMS</v>
      </c>
      <c r="C101" s="11"/>
      <c r="D101" s="2"/>
      <c r="E101" s="2"/>
      <c r="F101" s="19">
        <f t="shared" si="17"/>
        <v>0</v>
      </c>
      <c r="G101" s="2"/>
      <c r="H101" s="2">
        <v>599.29</v>
      </c>
      <c r="I101" s="2"/>
      <c r="J101" s="19">
        <f t="shared" si="18"/>
        <v>1.7999624743760875E-3</v>
      </c>
      <c r="K101" s="2"/>
      <c r="L101" s="2">
        <f t="shared" si="19"/>
        <v>-599.29</v>
      </c>
      <c r="M101" s="2"/>
      <c r="N101" s="19">
        <f t="shared" si="20"/>
        <v>-1</v>
      </c>
      <c r="O101" s="11"/>
      <c r="P101" s="2"/>
      <c r="Q101" s="2"/>
      <c r="R101" s="19">
        <f t="shared" si="21"/>
        <v>0</v>
      </c>
      <c r="S101" s="2"/>
      <c r="T101" s="2">
        <v>599.29</v>
      </c>
      <c r="U101" s="2"/>
      <c r="V101" s="19">
        <f t="shared" si="22"/>
        <v>1.7170984824042986E-4</v>
      </c>
      <c r="W101" s="2"/>
      <c r="X101" s="2">
        <f t="shared" si="23"/>
        <v>-599.29</v>
      </c>
      <c r="Y101" s="2"/>
      <c r="Z101" s="19">
        <f t="shared" si="24"/>
        <v>-1</v>
      </c>
    </row>
    <row r="102" spans="1:26" s="24" customFormat="1" hidden="1" outlineLevel="1" x14ac:dyDescent="0.25">
      <c r="A102" s="44"/>
      <c r="B102" s="11" t="str">
        <f>CONCATENATE("          ", "5026", " - ", "PURCHASES @ COST-WRITING INSTR")</f>
        <v xml:space="preserve">          5026 - PURCHASES @ COST-WRITING INSTR</v>
      </c>
      <c r="C102" s="11"/>
      <c r="D102" s="2"/>
      <c r="E102" s="2"/>
      <c r="F102" s="19">
        <f t="shared" si="17"/>
        <v>0</v>
      </c>
      <c r="G102" s="2"/>
      <c r="H102" s="2">
        <v>380.02</v>
      </c>
      <c r="I102" s="2"/>
      <c r="J102" s="19">
        <f t="shared" si="18"/>
        <v>1.1413868736544924E-3</v>
      </c>
      <c r="K102" s="2"/>
      <c r="L102" s="2">
        <f t="shared" si="19"/>
        <v>-380.02</v>
      </c>
      <c r="M102" s="2"/>
      <c r="N102" s="19">
        <f t="shared" si="20"/>
        <v>-1</v>
      </c>
      <c r="O102" s="11"/>
      <c r="P102" s="2">
        <v>0</v>
      </c>
      <c r="Q102" s="2"/>
      <c r="R102" s="19">
        <f t="shared" si="21"/>
        <v>0</v>
      </c>
      <c r="S102" s="2"/>
      <c r="T102" s="2">
        <v>380.02</v>
      </c>
      <c r="U102" s="2"/>
      <c r="V102" s="19">
        <f t="shared" si="22"/>
        <v>1.0888414044674223E-4</v>
      </c>
      <c r="W102" s="2"/>
      <c r="X102" s="2">
        <f t="shared" si="23"/>
        <v>-380.02</v>
      </c>
      <c r="Y102" s="2"/>
      <c r="Z102" s="19">
        <f t="shared" si="24"/>
        <v>-1</v>
      </c>
    </row>
    <row r="103" spans="1:26" s="24" customFormat="1" hidden="1" outlineLevel="1" x14ac:dyDescent="0.25">
      <c r="A103" s="44"/>
      <c r="B103" s="11" t="str">
        <f>CONCATENATE("          ", "5027", " - ", "PURCHASES @ COST-SCHOOL SUPPLI")</f>
        <v xml:space="preserve">          5027 - PURCHASES @ COST-SCHOOL SUPPLI</v>
      </c>
      <c r="C103" s="11"/>
      <c r="D103" s="2"/>
      <c r="E103" s="2"/>
      <c r="F103" s="19">
        <f t="shared" si="17"/>
        <v>0</v>
      </c>
      <c r="G103" s="2"/>
      <c r="H103" s="2">
        <v>10567.95</v>
      </c>
      <c r="I103" s="2"/>
      <c r="J103" s="19">
        <f t="shared" si="18"/>
        <v>3.1740748938047979E-2</v>
      </c>
      <c r="K103" s="2"/>
      <c r="L103" s="2">
        <f t="shared" si="19"/>
        <v>-10567.95</v>
      </c>
      <c r="M103" s="2"/>
      <c r="N103" s="19">
        <f t="shared" si="20"/>
        <v>-1</v>
      </c>
      <c r="O103" s="11"/>
      <c r="P103" s="2">
        <v>0</v>
      </c>
      <c r="Q103" s="2"/>
      <c r="R103" s="19">
        <f t="shared" si="21"/>
        <v>0</v>
      </c>
      <c r="S103" s="2"/>
      <c r="T103" s="2">
        <v>19071.349999999999</v>
      </c>
      <c r="U103" s="2"/>
      <c r="V103" s="19">
        <f t="shared" si="22"/>
        <v>5.4643638542944519E-3</v>
      </c>
      <c r="W103" s="2"/>
      <c r="X103" s="2">
        <f t="shared" si="23"/>
        <v>-19071.349999999999</v>
      </c>
      <c r="Y103" s="2"/>
      <c r="Z103" s="19">
        <f t="shared" si="24"/>
        <v>-1</v>
      </c>
    </row>
    <row r="104" spans="1:26" s="24" customFormat="1" hidden="1" outlineLevel="1" x14ac:dyDescent="0.25">
      <c r="A104" s="44"/>
      <c r="B104" s="11" t="str">
        <f>CONCATENATE("          ", "5028", " - ", "PURCHASES @ COST-ART/TECH")</f>
        <v xml:space="preserve">          5028 - PURCHASES @ COST-ART/TECH</v>
      </c>
      <c r="C104" s="11"/>
      <c r="D104" s="2"/>
      <c r="E104" s="2"/>
      <c r="F104" s="19">
        <f t="shared" si="17"/>
        <v>0</v>
      </c>
      <c r="G104" s="2"/>
      <c r="H104" s="2">
        <v>41425.96</v>
      </c>
      <c r="I104" s="2"/>
      <c r="J104" s="19">
        <f t="shared" si="18"/>
        <v>0.12442252242654613</v>
      </c>
      <c r="K104" s="2"/>
      <c r="L104" s="2">
        <f t="shared" si="19"/>
        <v>-41425.96</v>
      </c>
      <c r="M104" s="2"/>
      <c r="N104" s="19">
        <f t="shared" si="20"/>
        <v>-1</v>
      </c>
      <c r="O104" s="11"/>
      <c r="P104" s="2">
        <v>0</v>
      </c>
      <c r="Q104" s="2"/>
      <c r="R104" s="19">
        <f t="shared" si="21"/>
        <v>0</v>
      </c>
      <c r="S104" s="2"/>
      <c r="T104" s="2">
        <v>41342.559999999998</v>
      </c>
      <c r="U104" s="2"/>
      <c r="V104" s="19">
        <f t="shared" si="22"/>
        <v>1.1845558416577726E-2</v>
      </c>
      <c r="W104" s="2"/>
      <c r="X104" s="2">
        <f t="shared" si="23"/>
        <v>-41342.559999999998</v>
      </c>
      <c r="Y104" s="2"/>
      <c r="Z104" s="19">
        <f t="shared" si="24"/>
        <v>-1</v>
      </c>
    </row>
    <row r="105" spans="1:26" s="24" customFormat="1" hidden="1" outlineLevel="1" x14ac:dyDescent="0.25">
      <c r="A105" s="44"/>
      <c r="B105" s="11" t="str">
        <f>CONCATENATE("          ", "5031", " - ", "PURCHASES @ COST-FOOD")</f>
        <v xml:space="preserve">          5031 - PURCHASES @ COST-FOOD</v>
      </c>
      <c r="C105" s="11"/>
      <c r="D105" s="2"/>
      <c r="E105" s="2"/>
      <c r="F105" s="19">
        <f t="shared" si="17"/>
        <v>0</v>
      </c>
      <c r="G105" s="2"/>
      <c r="H105" s="2">
        <v>4469.18</v>
      </c>
      <c r="I105" s="2"/>
      <c r="J105" s="19">
        <f t="shared" si="18"/>
        <v>1.342314453975892E-2</v>
      </c>
      <c r="K105" s="2"/>
      <c r="L105" s="2">
        <f t="shared" si="19"/>
        <v>-4469.18</v>
      </c>
      <c r="M105" s="2"/>
      <c r="N105" s="19">
        <f t="shared" si="20"/>
        <v>-1</v>
      </c>
      <c r="O105" s="11"/>
      <c r="P105" s="2">
        <v>0</v>
      </c>
      <c r="Q105" s="2"/>
      <c r="R105" s="19">
        <f t="shared" si="21"/>
        <v>0</v>
      </c>
      <c r="S105" s="2"/>
      <c r="T105" s="2">
        <v>8535.1</v>
      </c>
      <c r="U105" s="2"/>
      <c r="V105" s="19">
        <f t="shared" si="22"/>
        <v>2.4454950453317976E-3</v>
      </c>
      <c r="W105" s="2"/>
      <c r="X105" s="2">
        <f t="shared" si="23"/>
        <v>-8535.1</v>
      </c>
      <c r="Y105" s="2"/>
      <c r="Z105" s="19">
        <f t="shared" si="24"/>
        <v>-1</v>
      </c>
    </row>
    <row r="106" spans="1:26" s="24" customFormat="1" hidden="1" outlineLevel="1" x14ac:dyDescent="0.25">
      <c r="A106" s="44"/>
      <c r="B106" s="11" t="str">
        <f>CONCATENATE("          ", "5040", " - ", "PURCHASES @ COST-LOGO CLOTHING")</f>
        <v xml:space="preserve">          5040 - PURCHASES @ COST-LOGO CLOTHING</v>
      </c>
      <c r="C106" s="11"/>
      <c r="D106" s="2"/>
      <c r="E106" s="2"/>
      <c r="F106" s="19">
        <f t="shared" si="17"/>
        <v>0</v>
      </c>
      <c r="G106" s="2"/>
      <c r="H106" s="2">
        <v>25420.9</v>
      </c>
      <c r="I106" s="2"/>
      <c r="J106" s="19">
        <f t="shared" si="18"/>
        <v>7.6351459334991545E-2</v>
      </c>
      <c r="K106" s="2"/>
      <c r="L106" s="2">
        <f t="shared" si="19"/>
        <v>-25420.9</v>
      </c>
      <c r="M106" s="2"/>
      <c r="N106" s="19">
        <f t="shared" si="20"/>
        <v>-1</v>
      </c>
      <c r="O106" s="11"/>
      <c r="P106" s="2">
        <v>0</v>
      </c>
      <c r="Q106" s="2"/>
      <c r="R106" s="19">
        <f t="shared" si="21"/>
        <v>0</v>
      </c>
      <c r="S106" s="2"/>
      <c r="T106" s="2">
        <v>39170.949999999997</v>
      </c>
      <c r="U106" s="2"/>
      <c r="V106" s="19">
        <f t="shared" si="22"/>
        <v>1.1223344090396077E-2</v>
      </c>
      <c r="W106" s="2"/>
      <c r="X106" s="2">
        <f t="shared" si="23"/>
        <v>-39170.949999999997</v>
      </c>
      <c r="Y106" s="2"/>
      <c r="Z106" s="19">
        <f t="shared" si="24"/>
        <v>-1</v>
      </c>
    </row>
    <row r="107" spans="1:26" s="24" customFormat="1" hidden="1" outlineLevel="1" x14ac:dyDescent="0.25">
      <c r="A107" s="44"/>
      <c r="B107" s="11" t="str">
        <f>CONCATENATE("          ", "5041", " - ", "PURCHASES @ COST-LOGO GIFTS")</f>
        <v xml:space="preserve">          5041 - PURCHASES @ COST-LOGO GIFTS</v>
      </c>
      <c r="C107" s="11"/>
      <c r="D107" s="2"/>
      <c r="E107" s="2"/>
      <c r="F107" s="19">
        <f t="shared" si="17"/>
        <v>0</v>
      </c>
      <c r="G107" s="2"/>
      <c r="H107" s="2">
        <v>15289.8</v>
      </c>
      <c r="I107" s="2"/>
      <c r="J107" s="19">
        <f t="shared" si="18"/>
        <v>4.5922785697601332E-2</v>
      </c>
      <c r="K107" s="2"/>
      <c r="L107" s="2">
        <f t="shared" si="19"/>
        <v>-15289.8</v>
      </c>
      <c r="M107" s="2"/>
      <c r="N107" s="19">
        <f t="shared" si="20"/>
        <v>-1</v>
      </c>
      <c r="O107" s="11"/>
      <c r="P107" s="2">
        <v>0</v>
      </c>
      <c r="Q107" s="2"/>
      <c r="R107" s="19">
        <f t="shared" si="21"/>
        <v>0</v>
      </c>
      <c r="S107" s="2"/>
      <c r="T107" s="2">
        <v>17287.34</v>
      </c>
      <c r="U107" s="2"/>
      <c r="V107" s="19">
        <f t="shared" si="22"/>
        <v>4.9532055063169966E-3</v>
      </c>
      <c r="W107" s="2"/>
      <c r="X107" s="2">
        <f t="shared" si="23"/>
        <v>-17287.34</v>
      </c>
      <c r="Y107" s="2"/>
      <c r="Z107" s="19">
        <f t="shared" si="24"/>
        <v>-1</v>
      </c>
    </row>
    <row r="108" spans="1:26" s="24" customFormat="1" hidden="1" outlineLevel="1" x14ac:dyDescent="0.25">
      <c r="A108" s="44"/>
      <c r="B108" s="11" t="str">
        <f>CONCATENATE("          ", "5042", " - ", "PURCHASES @ COST-EVERYDAY GIFT")</f>
        <v xml:space="preserve">          5042 - PURCHASES @ COST-EVERYDAY GIFT</v>
      </c>
      <c r="C108" s="11"/>
      <c r="D108" s="2"/>
      <c r="E108" s="2"/>
      <c r="F108" s="19">
        <f t="shared" si="17"/>
        <v>0</v>
      </c>
      <c r="G108" s="2"/>
      <c r="H108" s="2">
        <v>9421.5300000000007</v>
      </c>
      <c r="I108" s="2"/>
      <c r="J108" s="19">
        <f t="shared" si="18"/>
        <v>2.8297486110578418E-2</v>
      </c>
      <c r="K108" s="2"/>
      <c r="L108" s="2">
        <f t="shared" si="19"/>
        <v>-9421.5300000000007</v>
      </c>
      <c r="M108" s="2"/>
      <c r="N108" s="19">
        <f t="shared" si="20"/>
        <v>-1</v>
      </c>
      <c r="O108" s="11"/>
      <c r="P108" s="2">
        <v>0</v>
      </c>
      <c r="Q108" s="2"/>
      <c r="R108" s="19">
        <f t="shared" si="21"/>
        <v>0</v>
      </c>
      <c r="S108" s="2"/>
      <c r="T108" s="2">
        <v>10912.68</v>
      </c>
      <c r="U108" s="2"/>
      <c r="V108" s="19">
        <f t="shared" si="22"/>
        <v>3.1267243349569897E-3</v>
      </c>
      <c r="W108" s="2"/>
      <c r="X108" s="2">
        <f t="shared" si="23"/>
        <v>-10912.68</v>
      </c>
      <c r="Y108" s="2"/>
      <c r="Z108" s="19">
        <f t="shared" si="24"/>
        <v>-1</v>
      </c>
    </row>
    <row r="109" spans="1:26" s="24" customFormat="1" hidden="1" outlineLevel="1" x14ac:dyDescent="0.25">
      <c r="A109" s="44"/>
      <c r="B109" s="11" t="str">
        <f>CONCATENATE("          ", "5043", " - ", "PURCHASES @ COST-CARDS")</f>
        <v xml:space="preserve">          5043 - PURCHASES @ COST-CARDS</v>
      </c>
      <c r="C109" s="11"/>
      <c r="D109" s="2"/>
      <c r="E109" s="2"/>
      <c r="F109" s="19">
        <f t="shared" si="17"/>
        <v>0</v>
      </c>
      <c r="G109" s="2"/>
      <c r="H109" s="2">
        <v>2526.75</v>
      </c>
      <c r="I109" s="2"/>
      <c r="J109" s="19">
        <f t="shared" si="18"/>
        <v>7.5890723725237849E-3</v>
      </c>
      <c r="K109" s="2"/>
      <c r="L109" s="2">
        <f t="shared" si="19"/>
        <v>-2526.75</v>
      </c>
      <c r="M109" s="2"/>
      <c r="N109" s="19">
        <f t="shared" si="20"/>
        <v>-1</v>
      </c>
      <c r="O109" s="11"/>
      <c r="P109" s="2">
        <v>0</v>
      </c>
      <c r="Q109" s="2"/>
      <c r="R109" s="19">
        <f t="shared" si="21"/>
        <v>0</v>
      </c>
      <c r="S109" s="2"/>
      <c r="T109" s="2">
        <v>5643</v>
      </c>
      <c r="U109" s="2"/>
      <c r="V109" s="19">
        <f t="shared" si="22"/>
        <v>1.6168443885610402E-3</v>
      </c>
      <c r="W109" s="2"/>
      <c r="X109" s="2">
        <f t="shared" si="23"/>
        <v>-5643</v>
      </c>
      <c r="Y109" s="2"/>
      <c r="Z109" s="19">
        <f t="shared" si="24"/>
        <v>-1</v>
      </c>
    </row>
    <row r="110" spans="1:26" s="24" customFormat="1" hidden="1" outlineLevel="1" x14ac:dyDescent="0.25">
      <c r="A110" s="44"/>
      <c r="B110" s="11" t="str">
        <f>CONCATENATE("          ", "5044", " - ", "PURCHASES @ COST-ACCESSORIES")</f>
        <v xml:space="preserve">          5044 - PURCHASES @ COST-ACCESSORIES</v>
      </c>
      <c r="C110" s="11"/>
      <c r="D110" s="2"/>
      <c r="E110" s="2"/>
      <c r="F110" s="19">
        <f t="shared" si="17"/>
        <v>0</v>
      </c>
      <c r="G110" s="2"/>
      <c r="H110" s="2"/>
      <c r="I110" s="2"/>
      <c r="J110" s="19">
        <f t="shared" si="18"/>
        <v>0</v>
      </c>
      <c r="K110" s="2"/>
      <c r="L110" s="2">
        <f t="shared" si="19"/>
        <v>0</v>
      </c>
      <c r="M110" s="2"/>
      <c r="N110" s="19">
        <f t="shared" si="20"/>
        <v>0</v>
      </c>
      <c r="O110" s="11"/>
      <c r="P110" s="2">
        <v>0</v>
      </c>
      <c r="Q110" s="2"/>
      <c r="R110" s="19">
        <f t="shared" si="21"/>
        <v>0</v>
      </c>
      <c r="S110" s="2"/>
      <c r="T110" s="2"/>
      <c r="U110" s="2"/>
      <c r="V110" s="19">
        <f t="shared" si="22"/>
        <v>0</v>
      </c>
      <c r="W110" s="2"/>
      <c r="X110" s="2">
        <f t="shared" si="23"/>
        <v>0</v>
      </c>
      <c r="Y110" s="2"/>
      <c r="Z110" s="19">
        <f t="shared" si="24"/>
        <v>0</v>
      </c>
    </row>
    <row r="111" spans="1:26" s="24" customFormat="1" hidden="1" outlineLevel="1" x14ac:dyDescent="0.25">
      <c r="A111" s="44"/>
      <c r="B111" s="11" t="str">
        <f>CONCATENATE("          ", "5045", " - ", "PURCHASES @ COST-SPECIAL ORDER")</f>
        <v xml:space="preserve">          5045 - PURCHASES @ COST-SPECIAL ORDER</v>
      </c>
      <c r="C111" s="11"/>
      <c r="D111" s="2"/>
      <c r="E111" s="2"/>
      <c r="F111" s="19">
        <f t="shared" si="17"/>
        <v>0</v>
      </c>
      <c r="G111" s="2"/>
      <c r="H111" s="2">
        <v>10080.23</v>
      </c>
      <c r="I111" s="2"/>
      <c r="J111" s="19">
        <f t="shared" si="18"/>
        <v>3.0275886020257416E-2</v>
      </c>
      <c r="K111" s="2"/>
      <c r="L111" s="2">
        <f t="shared" si="19"/>
        <v>-10080.23</v>
      </c>
      <c r="M111" s="2"/>
      <c r="N111" s="19">
        <f t="shared" si="20"/>
        <v>-1</v>
      </c>
      <c r="O111" s="11"/>
      <c r="P111" s="2">
        <v>0</v>
      </c>
      <c r="Q111" s="2"/>
      <c r="R111" s="19">
        <f t="shared" si="21"/>
        <v>0</v>
      </c>
      <c r="S111" s="2"/>
      <c r="T111" s="2">
        <v>71254.52</v>
      </c>
      <c r="U111" s="2"/>
      <c r="V111" s="19">
        <f t="shared" si="22"/>
        <v>2.0415996955805496E-2</v>
      </c>
      <c r="W111" s="2"/>
      <c r="X111" s="2">
        <f t="shared" si="23"/>
        <v>-71254.52</v>
      </c>
      <c r="Y111" s="2"/>
      <c r="Z111" s="19">
        <f t="shared" si="24"/>
        <v>-1</v>
      </c>
    </row>
    <row r="112" spans="1:26" s="24" customFormat="1" hidden="1" outlineLevel="1" x14ac:dyDescent="0.25">
      <c r="A112" s="44"/>
      <c r="B112" s="11" t="str">
        <f>CONCATENATE("          ", "5081", " - ", "PURCHASES @ COST-ELECTRONICS")</f>
        <v xml:space="preserve">          5081 - PURCHASES @ COST-ELECTRONICS</v>
      </c>
      <c r="C112" s="11"/>
      <c r="D112" s="2"/>
      <c r="E112" s="2"/>
      <c r="F112" s="19">
        <f t="shared" si="17"/>
        <v>0</v>
      </c>
      <c r="G112" s="2"/>
      <c r="H112" s="2">
        <v>6249.76</v>
      </c>
      <c r="I112" s="2"/>
      <c r="J112" s="19">
        <f t="shared" si="18"/>
        <v>1.8771101593313248E-2</v>
      </c>
      <c r="K112" s="2"/>
      <c r="L112" s="2">
        <f t="shared" si="19"/>
        <v>-6249.76</v>
      </c>
      <c r="M112" s="2"/>
      <c r="N112" s="19">
        <f t="shared" si="20"/>
        <v>-1</v>
      </c>
      <c r="O112" s="11"/>
      <c r="P112" s="2">
        <v>0</v>
      </c>
      <c r="Q112" s="2"/>
      <c r="R112" s="19">
        <f t="shared" si="21"/>
        <v>0</v>
      </c>
      <c r="S112" s="2"/>
      <c r="T112" s="2">
        <v>21947.21</v>
      </c>
      <c r="U112" s="2"/>
      <c r="V112" s="19">
        <f t="shared" si="22"/>
        <v>6.2883613916481914E-3</v>
      </c>
      <c r="W112" s="2"/>
      <c r="X112" s="2">
        <f t="shared" si="23"/>
        <v>-21947.21</v>
      </c>
      <c r="Y112" s="2"/>
      <c r="Z112" s="19">
        <f t="shared" si="24"/>
        <v>-1</v>
      </c>
    </row>
    <row r="113" spans="1:26" s="24" customFormat="1" hidden="1" outlineLevel="1" x14ac:dyDescent="0.25">
      <c r="A113" s="44"/>
      <c r="B113" s="11" t="str">
        <f>CONCATENATE("          ", "5082", " - ", "PURCHASES @ COST-COMPUTER HARD")</f>
        <v xml:space="preserve">          5082 - PURCHASES @ COST-COMPUTER HARD</v>
      </c>
      <c r="C113" s="11"/>
      <c r="D113" s="2">
        <v>-20540.88</v>
      </c>
      <c r="E113" s="2"/>
      <c r="F113" s="19">
        <f t="shared" si="17"/>
        <v>-3.032027152927879E-2</v>
      </c>
      <c r="G113" s="2"/>
      <c r="H113" s="2">
        <v>175404.87</v>
      </c>
      <c r="I113" s="2"/>
      <c r="J113" s="19">
        <f t="shared" si="18"/>
        <v>0.52682705171589039</v>
      </c>
      <c r="K113" s="2"/>
      <c r="L113" s="2">
        <f t="shared" si="19"/>
        <v>-195945.75</v>
      </c>
      <c r="M113" s="2"/>
      <c r="N113" s="19">
        <f t="shared" si="20"/>
        <v>-1.1171055284839013</v>
      </c>
      <c r="O113" s="11"/>
      <c r="P113" s="2">
        <v>-77324.73</v>
      </c>
      <c r="Q113" s="2"/>
      <c r="R113" s="19">
        <f t="shared" si="21"/>
        <v>-2.1427019367083789E-2</v>
      </c>
      <c r="S113" s="2"/>
      <c r="T113" s="2">
        <v>888778.08</v>
      </c>
      <c r="U113" s="2"/>
      <c r="V113" s="19">
        <f t="shared" si="22"/>
        <v>0.25465458999185808</v>
      </c>
      <c r="W113" s="2"/>
      <c r="X113" s="2">
        <f t="shared" si="23"/>
        <v>-966102.80999999994</v>
      </c>
      <c r="Y113" s="2"/>
      <c r="Z113" s="19">
        <f t="shared" si="24"/>
        <v>-1.0870011668154551</v>
      </c>
    </row>
    <row r="114" spans="1:26" s="24" customFormat="1" hidden="1" outlineLevel="1" x14ac:dyDescent="0.25">
      <c r="A114" s="44"/>
      <c r="B114" s="11" t="str">
        <f>CONCATENATE("          ", "5083", " - ", "PURCHASES @ COST-COMPUTER EQUI")</f>
        <v xml:space="preserve">          5083 - PURCHASES @ COST-COMPUTER EQUI</v>
      </c>
      <c r="C114" s="11"/>
      <c r="D114" s="2"/>
      <c r="E114" s="2"/>
      <c r="F114" s="19">
        <f t="shared" si="17"/>
        <v>0</v>
      </c>
      <c r="G114" s="2"/>
      <c r="H114" s="2">
        <v>11838.95</v>
      </c>
      <c r="I114" s="2"/>
      <c r="J114" s="19">
        <f t="shared" si="18"/>
        <v>3.5558186747676052E-2</v>
      </c>
      <c r="K114" s="2"/>
      <c r="L114" s="2">
        <f t="shared" si="19"/>
        <v>-11838.95</v>
      </c>
      <c r="M114" s="2"/>
      <c r="N114" s="19">
        <f t="shared" si="20"/>
        <v>-1</v>
      </c>
      <c r="O114" s="11"/>
      <c r="P114" s="2">
        <v>0</v>
      </c>
      <c r="Q114" s="2"/>
      <c r="R114" s="19">
        <f t="shared" si="21"/>
        <v>0</v>
      </c>
      <c r="S114" s="2"/>
      <c r="T114" s="2">
        <v>73272.95</v>
      </c>
      <c r="U114" s="2"/>
      <c r="V114" s="19">
        <f t="shared" si="22"/>
        <v>2.0994321821870221E-2</v>
      </c>
      <c r="W114" s="2"/>
      <c r="X114" s="2">
        <f t="shared" si="23"/>
        <v>-73272.95</v>
      </c>
      <c r="Y114" s="2"/>
      <c r="Z114" s="19">
        <f t="shared" si="24"/>
        <v>-1</v>
      </c>
    </row>
    <row r="115" spans="1:26" s="24" customFormat="1" hidden="1" outlineLevel="1" x14ac:dyDescent="0.25">
      <c r="A115" s="44"/>
      <c r="B115" s="11" t="str">
        <f>CONCATENATE("          ", "5085", " - ", "PURCHASES @ COST-SOFTWARE")</f>
        <v xml:space="preserve">          5085 - PURCHASES @ COST-SOFTWARE</v>
      </c>
      <c r="C115" s="11"/>
      <c r="D115" s="2"/>
      <c r="E115" s="2"/>
      <c r="F115" s="19">
        <f t="shared" si="17"/>
        <v>0</v>
      </c>
      <c r="G115" s="2"/>
      <c r="H115" s="2">
        <v>5843.52</v>
      </c>
      <c r="I115" s="2"/>
      <c r="J115" s="19">
        <f t="shared" si="18"/>
        <v>1.7550963170194989E-2</v>
      </c>
      <c r="K115" s="2"/>
      <c r="L115" s="2">
        <f t="shared" si="19"/>
        <v>-5843.52</v>
      </c>
      <c r="M115" s="2"/>
      <c r="N115" s="19">
        <f t="shared" si="20"/>
        <v>-1</v>
      </c>
      <c r="O115" s="11"/>
      <c r="P115" s="2">
        <v>0</v>
      </c>
      <c r="Q115" s="2"/>
      <c r="R115" s="19">
        <f t="shared" si="21"/>
        <v>0</v>
      </c>
      <c r="S115" s="2"/>
      <c r="T115" s="2">
        <v>20681.2</v>
      </c>
      <c r="U115" s="2"/>
      <c r="V115" s="19">
        <f t="shared" si="22"/>
        <v>5.9256215078342346E-3</v>
      </c>
      <c r="W115" s="2"/>
      <c r="X115" s="2">
        <f t="shared" si="23"/>
        <v>-20681.2</v>
      </c>
      <c r="Y115" s="2"/>
      <c r="Z115" s="19">
        <f t="shared" si="24"/>
        <v>-1</v>
      </c>
    </row>
    <row r="116" spans="1:26" s="24" customFormat="1" hidden="1" outlineLevel="1" x14ac:dyDescent="0.25">
      <c r="A116" s="44"/>
      <c r="B116" s="11" t="str">
        <f>CONCATENATE("          ", "5086", " - ", "PURCHASES @ COST-COMPUTER SUPP")</f>
        <v xml:space="preserve">          5086 - PURCHASES @ COST-COMPUTER SUPP</v>
      </c>
      <c r="C116" s="11"/>
      <c r="D116" s="2"/>
      <c r="E116" s="2"/>
      <c r="F116" s="19">
        <f t="shared" si="17"/>
        <v>0</v>
      </c>
      <c r="G116" s="2"/>
      <c r="H116" s="2">
        <v>773.47</v>
      </c>
      <c r="I116" s="2"/>
      <c r="J116" s="19">
        <f t="shared" si="18"/>
        <v>2.323110639349351E-3</v>
      </c>
      <c r="K116" s="2"/>
      <c r="L116" s="2">
        <f t="shared" si="19"/>
        <v>-773.47</v>
      </c>
      <c r="M116" s="2"/>
      <c r="N116" s="19">
        <f t="shared" si="20"/>
        <v>-1</v>
      </c>
      <c r="O116" s="11"/>
      <c r="P116" s="2">
        <v>0</v>
      </c>
      <c r="Q116" s="2"/>
      <c r="R116" s="19">
        <f t="shared" si="21"/>
        <v>0</v>
      </c>
      <c r="S116" s="2"/>
      <c r="T116" s="2">
        <v>22529.439999999999</v>
      </c>
      <c r="U116" s="2"/>
      <c r="V116" s="19">
        <f t="shared" si="22"/>
        <v>6.4551831723236993E-3</v>
      </c>
      <c r="W116" s="2"/>
      <c r="X116" s="2">
        <f t="shared" si="23"/>
        <v>-22529.439999999999</v>
      </c>
      <c r="Y116" s="2"/>
      <c r="Z116" s="19">
        <f t="shared" si="24"/>
        <v>-1</v>
      </c>
    </row>
    <row r="117" spans="1:26" s="24" customFormat="1" hidden="1" outlineLevel="1" x14ac:dyDescent="0.25">
      <c r="A117" s="44"/>
      <c r="B117" s="11" t="str">
        <f>CONCATENATE("          ", "5092", " - ", "PURCHASES @ COST-GRAD MERCH")</f>
        <v xml:space="preserve">          5092 - PURCHASES @ COST-GRAD MERCH</v>
      </c>
      <c r="C117" s="11"/>
      <c r="D117" s="2"/>
      <c r="E117" s="2"/>
      <c r="F117" s="19">
        <f t="shared" si="17"/>
        <v>0</v>
      </c>
      <c r="G117" s="2"/>
      <c r="H117" s="2"/>
      <c r="I117" s="2"/>
      <c r="J117" s="19">
        <f t="shared" si="18"/>
        <v>0</v>
      </c>
      <c r="K117" s="2"/>
      <c r="L117" s="2">
        <f t="shared" si="19"/>
        <v>0</v>
      </c>
      <c r="M117" s="2"/>
      <c r="N117" s="19">
        <f t="shared" si="20"/>
        <v>0</v>
      </c>
      <c r="O117" s="11"/>
      <c r="P117" s="2"/>
      <c r="Q117" s="2"/>
      <c r="R117" s="19">
        <f t="shared" si="21"/>
        <v>0</v>
      </c>
      <c r="S117" s="2"/>
      <c r="T117" s="2">
        <v>0</v>
      </c>
      <c r="U117" s="2"/>
      <c r="V117" s="19">
        <f t="shared" si="22"/>
        <v>0</v>
      </c>
      <c r="W117" s="2"/>
      <c r="X117" s="2">
        <f t="shared" si="23"/>
        <v>0</v>
      </c>
      <c r="Y117" s="2"/>
      <c r="Z117" s="19">
        <f t="shared" si="24"/>
        <v>0</v>
      </c>
    </row>
    <row r="118" spans="1:26" s="24" customFormat="1" hidden="1" outlineLevel="1" x14ac:dyDescent="0.25">
      <c r="A118" s="44"/>
      <c r="B118" s="11" t="str">
        <f>CONCATENATE("          ", "5200", " - ", "PURCHASES OFFSET")</f>
        <v xml:space="preserve">          5200 - PURCHASES OFFSET</v>
      </c>
      <c r="C118" s="11"/>
      <c r="D118" s="2">
        <v>-899387.86</v>
      </c>
      <c r="E118" s="2"/>
      <c r="F118" s="19">
        <f t="shared" si="17"/>
        <v>-1.3275811029194939</v>
      </c>
      <c r="G118" s="2"/>
      <c r="H118" s="2">
        <v>-434415.86</v>
      </c>
      <c r="I118" s="2"/>
      <c r="J118" s="19">
        <f t="shared" si="18"/>
        <v>-1.3047643816413022</v>
      </c>
      <c r="K118" s="2"/>
      <c r="L118" s="2">
        <f t="shared" si="19"/>
        <v>-464972</v>
      </c>
      <c r="M118" s="2"/>
      <c r="N118" s="19">
        <f t="shared" si="20"/>
        <v>1.0703384540334233</v>
      </c>
      <c r="O118" s="11"/>
      <c r="P118" s="2">
        <v>-2799251.37</v>
      </c>
      <c r="Q118" s="2"/>
      <c r="R118" s="19">
        <f t="shared" si="21"/>
        <v>-0.77568474300945933</v>
      </c>
      <c r="S118" s="2"/>
      <c r="T118" s="2">
        <v>-2796709.36</v>
      </c>
      <c r="U118" s="2"/>
      <c r="V118" s="19">
        <f t="shared" si="22"/>
        <v>-0.80131912726424559</v>
      </c>
      <c r="W118" s="2"/>
      <c r="X118" s="2">
        <f t="shared" si="23"/>
        <v>-2542.0100000002421</v>
      </c>
      <c r="Y118" s="2"/>
      <c r="Z118" s="19">
        <f t="shared" si="24"/>
        <v>9.0892891351436044E-4</v>
      </c>
    </row>
    <row r="119" spans="1:26" s="24" customFormat="1" hidden="1" outlineLevel="1" x14ac:dyDescent="0.25">
      <c r="A119" s="44"/>
      <c r="B119" s="11" t="str">
        <f>CONCATENATE("          ", "5300", " - ", "COG$ OFFSET")</f>
        <v xml:space="preserve">          5300 - COG$ OFFSET</v>
      </c>
      <c r="C119" s="11"/>
      <c r="D119" s="2">
        <v>457087.53</v>
      </c>
      <c r="E119" s="2"/>
      <c r="F119" s="19">
        <f t="shared" si="17"/>
        <v>0.67470420070840997</v>
      </c>
      <c r="G119" s="2"/>
      <c r="H119" s="2">
        <v>241934</v>
      </c>
      <c r="I119" s="2"/>
      <c r="J119" s="19">
        <f t="shared" si="18"/>
        <v>0.72664673409485281</v>
      </c>
      <c r="K119" s="2"/>
      <c r="L119" s="2">
        <f t="shared" si="19"/>
        <v>215153.53000000003</v>
      </c>
      <c r="M119" s="2"/>
      <c r="N119" s="19">
        <f t="shared" si="20"/>
        <v>0.88930671174783216</v>
      </c>
      <c r="O119" s="11"/>
      <c r="P119" s="2">
        <v>2259391.88</v>
      </c>
      <c r="Q119" s="2"/>
      <c r="R119" s="19">
        <f t="shared" si="21"/>
        <v>0.62608732769699749</v>
      </c>
      <c r="S119" s="2"/>
      <c r="T119" s="2">
        <v>2276964</v>
      </c>
      <c r="U119" s="2"/>
      <c r="V119" s="19">
        <f t="shared" si="22"/>
        <v>0.65240057883315616</v>
      </c>
      <c r="W119" s="2"/>
      <c r="X119" s="2">
        <f t="shared" si="23"/>
        <v>-17572.120000000112</v>
      </c>
      <c r="Y119" s="2"/>
      <c r="Z119" s="19">
        <f t="shared" si="24"/>
        <v>-7.7173464314763485E-3</v>
      </c>
    </row>
    <row r="120" spans="1:26" s="24" customFormat="1" hidden="1" outlineLevel="1" x14ac:dyDescent="0.25">
      <c r="A120" s="44"/>
      <c r="B120" s="11" t="str">
        <f>CONCATENATE("          ", "5500", " - ", "FREIGHT-IN")</f>
        <v xml:space="preserve">          5500 - FREIGHT-IN</v>
      </c>
      <c r="C120" s="11"/>
      <c r="D120" s="2">
        <v>22303.71</v>
      </c>
      <c r="E120" s="2"/>
      <c r="F120" s="19">
        <f t="shared" si="17"/>
        <v>3.2922374470338689E-2</v>
      </c>
      <c r="G120" s="2"/>
      <c r="H120" s="2"/>
      <c r="I120" s="2"/>
      <c r="J120" s="19">
        <f t="shared" si="18"/>
        <v>0</v>
      </c>
      <c r="K120" s="2"/>
      <c r="L120" s="2">
        <f t="shared" si="19"/>
        <v>22303.71</v>
      </c>
      <c r="M120" s="2"/>
      <c r="N120" s="19">
        <f t="shared" si="20"/>
        <v>0</v>
      </c>
      <c r="O120" s="11"/>
      <c r="P120" s="2">
        <v>49680.15</v>
      </c>
      <c r="Q120" s="2"/>
      <c r="R120" s="19">
        <f t="shared" si="21"/>
        <v>1.3766585880217463E-2</v>
      </c>
      <c r="S120" s="2"/>
      <c r="T120" s="2">
        <v>0</v>
      </c>
      <c r="U120" s="2"/>
      <c r="V120" s="19">
        <f t="shared" si="22"/>
        <v>0</v>
      </c>
      <c r="W120" s="2"/>
      <c r="X120" s="2">
        <f t="shared" si="23"/>
        <v>49680.15</v>
      </c>
      <c r="Y120" s="2"/>
      <c r="Z120" s="19">
        <f t="shared" si="24"/>
        <v>0</v>
      </c>
    </row>
    <row r="121" spans="1:26" s="24" customFormat="1" hidden="1" outlineLevel="1" x14ac:dyDescent="0.25">
      <c r="A121" s="44"/>
      <c r="B121" s="11" t="str">
        <f>CONCATENATE("          ", "5501", " - ", "FREIGHT-IN-NEW TEXT")</f>
        <v xml:space="preserve">          5501 - FREIGHT-IN-NEW TEXT</v>
      </c>
      <c r="C121" s="11"/>
      <c r="D121" s="2">
        <v>0</v>
      </c>
      <c r="E121" s="2"/>
      <c r="F121" s="19">
        <f t="shared" si="17"/>
        <v>0</v>
      </c>
      <c r="G121" s="2"/>
      <c r="H121" s="2">
        <v>23295.74</v>
      </c>
      <c r="I121" s="2"/>
      <c r="J121" s="19">
        <f t="shared" si="18"/>
        <v>6.9968559149697143E-2</v>
      </c>
      <c r="K121" s="2"/>
      <c r="L121" s="2">
        <f t="shared" si="19"/>
        <v>-23295.74</v>
      </c>
      <c r="M121" s="2"/>
      <c r="N121" s="19">
        <f t="shared" si="20"/>
        <v>-1</v>
      </c>
      <c r="O121" s="11"/>
      <c r="P121" s="2">
        <v>0</v>
      </c>
      <c r="Q121" s="2"/>
      <c r="R121" s="19">
        <f t="shared" si="21"/>
        <v>0</v>
      </c>
      <c r="S121" s="2"/>
      <c r="T121" s="2">
        <v>34058.620000000003</v>
      </c>
      <c r="U121" s="2"/>
      <c r="V121" s="19">
        <f t="shared" si="22"/>
        <v>9.7585484014057807E-3</v>
      </c>
      <c r="W121" s="2"/>
      <c r="X121" s="2">
        <f t="shared" si="23"/>
        <v>-34058.620000000003</v>
      </c>
      <c r="Y121" s="2"/>
      <c r="Z121" s="19">
        <f t="shared" si="24"/>
        <v>-1</v>
      </c>
    </row>
    <row r="122" spans="1:26" s="24" customFormat="1" hidden="1" outlineLevel="1" x14ac:dyDescent="0.25">
      <c r="A122" s="44"/>
      <c r="B122" s="11" t="str">
        <f>CONCATENATE("          ", "5502", " - ", "FREIGHT-IN-USED TEXT")</f>
        <v xml:space="preserve">          5502 - FREIGHT-IN-USED TEXT</v>
      </c>
      <c r="C122" s="11"/>
      <c r="D122" s="2"/>
      <c r="E122" s="2"/>
      <c r="F122" s="19">
        <f t="shared" si="17"/>
        <v>0</v>
      </c>
      <c r="G122" s="2"/>
      <c r="H122" s="2">
        <v>2233.9</v>
      </c>
      <c r="I122" s="2"/>
      <c r="J122" s="19">
        <f t="shared" si="18"/>
        <v>6.7094998606830446E-3</v>
      </c>
      <c r="K122" s="2"/>
      <c r="L122" s="2">
        <f t="shared" si="19"/>
        <v>-2233.9</v>
      </c>
      <c r="M122" s="2"/>
      <c r="N122" s="19">
        <f t="shared" si="20"/>
        <v>-1</v>
      </c>
      <c r="O122" s="11"/>
      <c r="P122" s="2">
        <v>0</v>
      </c>
      <c r="Q122" s="2"/>
      <c r="R122" s="19">
        <f t="shared" si="21"/>
        <v>0</v>
      </c>
      <c r="S122" s="2"/>
      <c r="T122" s="2">
        <v>10744.72</v>
      </c>
      <c r="U122" s="2"/>
      <c r="V122" s="19">
        <f t="shared" si="22"/>
        <v>3.0786000777351724E-3</v>
      </c>
      <c r="W122" s="2"/>
      <c r="X122" s="2">
        <f t="shared" si="23"/>
        <v>-10744.72</v>
      </c>
      <c r="Y122" s="2"/>
      <c r="Z122" s="19">
        <f t="shared" si="24"/>
        <v>-1</v>
      </c>
    </row>
    <row r="123" spans="1:26" s="24" customFormat="1" hidden="1" outlineLevel="1" x14ac:dyDescent="0.25">
      <c r="A123" s="44"/>
      <c r="B123" s="11" t="str">
        <f>CONCATENATE("          ", "5504", " - ", "FREIGHT-IN-DIGITAL TEXT")</f>
        <v xml:space="preserve">          5504 - FREIGHT-IN-DIGITAL TEXT</v>
      </c>
      <c r="C123" s="11"/>
      <c r="D123" s="2"/>
      <c r="E123" s="2"/>
      <c r="F123" s="19">
        <f t="shared" si="17"/>
        <v>0</v>
      </c>
      <c r="G123" s="2"/>
      <c r="H123" s="2">
        <v>10.99</v>
      </c>
      <c r="I123" s="2"/>
      <c r="J123" s="19">
        <f t="shared" si="18"/>
        <v>3.3008372563188443E-5</v>
      </c>
      <c r="K123" s="2"/>
      <c r="L123" s="2">
        <f t="shared" si="19"/>
        <v>-10.99</v>
      </c>
      <c r="M123" s="2"/>
      <c r="N123" s="19">
        <f t="shared" si="20"/>
        <v>-1</v>
      </c>
      <c r="O123" s="11"/>
      <c r="P123" s="2"/>
      <c r="Q123" s="2"/>
      <c r="R123" s="19">
        <f t="shared" si="21"/>
        <v>0</v>
      </c>
      <c r="S123" s="2"/>
      <c r="T123" s="2">
        <v>21.98</v>
      </c>
      <c r="U123" s="2"/>
      <c r="V123" s="19">
        <f t="shared" si="22"/>
        <v>6.2977564523430205E-6</v>
      </c>
      <c r="W123" s="2"/>
      <c r="X123" s="2">
        <f t="shared" si="23"/>
        <v>-21.98</v>
      </c>
      <c r="Y123" s="2"/>
      <c r="Z123" s="19">
        <f t="shared" si="24"/>
        <v>-1</v>
      </c>
    </row>
    <row r="124" spans="1:26" s="24" customFormat="1" hidden="1" outlineLevel="1" x14ac:dyDescent="0.25">
      <c r="A124" s="44"/>
      <c r="B124" s="11" t="str">
        <f>CONCATENATE("          ", "5518", " - ", "FREIGHT-IN-STUDY GUIDES")</f>
        <v xml:space="preserve">          5518 - FREIGHT-IN-STUDY GUIDES</v>
      </c>
      <c r="C124" s="11"/>
      <c r="D124" s="2"/>
      <c r="E124" s="2"/>
      <c r="F124" s="19">
        <f t="shared" si="17"/>
        <v>0</v>
      </c>
      <c r="G124" s="2"/>
      <c r="H124" s="2"/>
      <c r="I124" s="2"/>
      <c r="J124" s="19">
        <f t="shared" si="18"/>
        <v>0</v>
      </c>
      <c r="K124" s="2"/>
      <c r="L124" s="2">
        <f t="shared" si="19"/>
        <v>0</v>
      </c>
      <c r="M124" s="2"/>
      <c r="N124" s="19">
        <f t="shared" si="20"/>
        <v>0</v>
      </c>
      <c r="O124" s="11"/>
      <c r="P124" s="2">
        <v>0</v>
      </c>
      <c r="Q124" s="2"/>
      <c r="R124" s="19">
        <f t="shared" si="21"/>
        <v>0</v>
      </c>
      <c r="S124" s="2"/>
      <c r="T124" s="2"/>
      <c r="U124" s="2"/>
      <c r="V124" s="19">
        <f t="shared" si="22"/>
        <v>0</v>
      </c>
      <c r="W124" s="2"/>
      <c r="X124" s="2">
        <f t="shared" si="23"/>
        <v>0</v>
      </c>
      <c r="Y124" s="2"/>
      <c r="Z124" s="19">
        <f t="shared" si="24"/>
        <v>0</v>
      </c>
    </row>
    <row r="125" spans="1:26" s="24" customFormat="1" hidden="1" outlineLevel="1" x14ac:dyDescent="0.25">
      <c r="A125" s="44"/>
      <c r="B125" s="11" t="str">
        <f>CONCATENATE("          ", "5525", " - ", "FREIGHT-IN-TEST FORMS")</f>
        <v xml:space="preserve">          5525 - FREIGHT-IN-TEST FORMS</v>
      </c>
      <c r="C125" s="11"/>
      <c r="D125" s="2"/>
      <c r="E125" s="2"/>
      <c r="F125" s="19">
        <f t="shared" si="17"/>
        <v>0</v>
      </c>
      <c r="G125" s="2"/>
      <c r="H125" s="2">
        <v>48.14</v>
      </c>
      <c r="I125" s="2"/>
      <c r="J125" s="19">
        <f t="shared" si="18"/>
        <v>1.4458808509480362E-4</v>
      </c>
      <c r="K125" s="2"/>
      <c r="L125" s="2">
        <f t="shared" si="19"/>
        <v>-48.14</v>
      </c>
      <c r="M125" s="2"/>
      <c r="N125" s="19">
        <f t="shared" si="20"/>
        <v>-1</v>
      </c>
      <c r="O125" s="11"/>
      <c r="P125" s="2"/>
      <c r="Q125" s="2"/>
      <c r="R125" s="19">
        <f t="shared" si="21"/>
        <v>0</v>
      </c>
      <c r="S125" s="2"/>
      <c r="T125" s="2">
        <v>48.14</v>
      </c>
      <c r="U125" s="2"/>
      <c r="V125" s="19">
        <f t="shared" si="22"/>
        <v>1.3793175414731255E-5</v>
      </c>
      <c r="W125" s="2"/>
      <c r="X125" s="2">
        <f t="shared" si="23"/>
        <v>-48.14</v>
      </c>
      <c r="Y125" s="2"/>
      <c r="Z125" s="19">
        <f t="shared" si="24"/>
        <v>-1</v>
      </c>
    </row>
    <row r="126" spans="1:26" s="24" customFormat="1" hidden="1" outlineLevel="1" x14ac:dyDescent="0.25">
      <c r="A126" s="44"/>
      <c r="B126" s="11" t="str">
        <f>CONCATENATE("          ", "5527", " - ", "FREIGHT-IN-SCHOOL SUPPLIES")</f>
        <v xml:space="preserve">          5527 - FREIGHT-IN-SCHOOL SUPPLIES</v>
      </c>
      <c r="C126" s="11"/>
      <c r="D126" s="2"/>
      <c r="E126" s="2"/>
      <c r="F126" s="19">
        <f t="shared" si="17"/>
        <v>0</v>
      </c>
      <c r="G126" s="2"/>
      <c r="H126" s="2">
        <v>56</v>
      </c>
      <c r="I126" s="2"/>
      <c r="J126" s="19">
        <f t="shared" si="18"/>
        <v>1.6819552898439971E-4</v>
      </c>
      <c r="K126" s="2"/>
      <c r="L126" s="2">
        <f t="shared" si="19"/>
        <v>-56</v>
      </c>
      <c r="M126" s="2"/>
      <c r="N126" s="19">
        <f t="shared" si="20"/>
        <v>-1</v>
      </c>
      <c r="O126" s="11"/>
      <c r="P126" s="2">
        <v>0</v>
      </c>
      <c r="Q126" s="2"/>
      <c r="R126" s="19">
        <f t="shared" si="21"/>
        <v>0</v>
      </c>
      <c r="S126" s="2"/>
      <c r="T126" s="2">
        <v>56</v>
      </c>
      <c r="U126" s="2"/>
      <c r="V126" s="19">
        <f t="shared" si="22"/>
        <v>1.6045239369026804E-5</v>
      </c>
      <c r="W126" s="2"/>
      <c r="X126" s="2">
        <f t="shared" si="23"/>
        <v>-56</v>
      </c>
      <c r="Y126" s="2"/>
      <c r="Z126" s="19">
        <f t="shared" si="24"/>
        <v>-1</v>
      </c>
    </row>
    <row r="127" spans="1:26" s="24" customFormat="1" hidden="1" outlineLevel="1" x14ac:dyDescent="0.25">
      <c r="A127" s="44"/>
      <c r="B127" s="11" t="str">
        <f>CONCATENATE("          ", "5528", " - ", "FREIGHT-IN-ART/TECH")</f>
        <v xml:space="preserve">          5528 - FREIGHT-IN-ART/TECH</v>
      </c>
      <c r="C127" s="11"/>
      <c r="D127" s="2"/>
      <c r="E127" s="2"/>
      <c r="F127" s="19">
        <f t="shared" si="17"/>
        <v>0</v>
      </c>
      <c r="G127" s="2"/>
      <c r="H127" s="2">
        <v>239.39</v>
      </c>
      <c r="I127" s="2"/>
      <c r="J127" s="19">
        <f t="shared" si="18"/>
        <v>7.1900585149241867E-4</v>
      </c>
      <c r="K127" s="2"/>
      <c r="L127" s="2">
        <f t="shared" si="19"/>
        <v>-239.39</v>
      </c>
      <c r="M127" s="2"/>
      <c r="N127" s="19">
        <f t="shared" si="20"/>
        <v>-1</v>
      </c>
      <c r="O127" s="11"/>
      <c r="P127" s="2">
        <v>0</v>
      </c>
      <c r="Q127" s="2"/>
      <c r="R127" s="19">
        <f t="shared" si="21"/>
        <v>0</v>
      </c>
      <c r="S127" s="2"/>
      <c r="T127" s="2">
        <v>284.2</v>
      </c>
      <c r="U127" s="2"/>
      <c r="V127" s="19">
        <f t="shared" si="22"/>
        <v>8.1429589797811023E-5</v>
      </c>
      <c r="W127" s="2"/>
      <c r="X127" s="2">
        <f t="shared" si="23"/>
        <v>-284.2</v>
      </c>
      <c r="Y127" s="2"/>
      <c r="Z127" s="19">
        <f t="shared" si="24"/>
        <v>-1</v>
      </c>
    </row>
    <row r="128" spans="1:26" s="24" customFormat="1" hidden="1" outlineLevel="1" x14ac:dyDescent="0.25">
      <c r="A128" s="44"/>
      <c r="B128" s="11" t="str">
        <f>CONCATENATE("          ", "5540", " - ", "FREIGHT-IN-LOGO CLOTHING")</f>
        <v xml:space="preserve">          5540 - FREIGHT-IN-LOGO CLOTHING</v>
      </c>
      <c r="C128" s="11"/>
      <c r="D128" s="2"/>
      <c r="E128" s="2"/>
      <c r="F128" s="19">
        <f t="shared" si="17"/>
        <v>0</v>
      </c>
      <c r="G128" s="2"/>
      <c r="H128" s="2">
        <v>1036.57</v>
      </c>
      <c r="I128" s="2"/>
      <c r="J128" s="19">
        <f t="shared" si="18"/>
        <v>3.1133292764171285E-3</v>
      </c>
      <c r="K128" s="2"/>
      <c r="L128" s="2">
        <f t="shared" si="19"/>
        <v>-1036.57</v>
      </c>
      <c r="M128" s="2"/>
      <c r="N128" s="19">
        <f t="shared" si="20"/>
        <v>-1</v>
      </c>
      <c r="O128" s="11"/>
      <c r="P128" s="2">
        <v>0</v>
      </c>
      <c r="Q128" s="2"/>
      <c r="R128" s="19">
        <f t="shared" si="21"/>
        <v>0</v>
      </c>
      <c r="S128" s="2"/>
      <c r="T128" s="2">
        <v>3202.33</v>
      </c>
      <c r="U128" s="2"/>
      <c r="V128" s="19">
        <f t="shared" si="22"/>
        <v>9.1753841765384995E-4</v>
      </c>
      <c r="W128" s="2"/>
      <c r="X128" s="2">
        <f t="shared" si="23"/>
        <v>-3202.33</v>
      </c>
      <c r="Y128" s="2"/>
      <c r="Z128" s="19">
        <f t="shared" si="24"/>
        <v>-1</v>
      </c>
    </row>
    <row r="129" spans="1:26" s="24" customFormat="1" hidden="1" outlineLevel="1" x14ac:dyDescent="0.25">
      <c r="A129" s="44"/>
      <c r="B129" s="11" t="str">
        <f>CONCATENATE("          ", "5541", " - ", "FREIGHT-IN-LOGO GIFTS")</f>
        <v xml:space="preserve">          5541 - FREIGHT-IN-LOGO GIFTS</v>
      </c>
      <c r="C129" s="11"/>
      <c r="D129" s="2"/>
      <c r="E129" s="2"/>
      <c r="F129" s="19">
        <f t="shared" si="17"/>
        <v>0</v>
      </c>
      <c r="G129" s="2"/>
      <c r="H129" s="2">
        <v>773.7</v>
      </c>
      <c r="I129" s="2"/>
      <c r="J129" s="19">
        <f t="shared" si="18"/>
        <v>2.3238014424148226E-3</v>
      </c>
      <c r="K129" s="2"/>
      <c r="L129" s="2">
        <f t="shared" si="19"/>
        <v>-773.7</v>
      </c>
      <c r="M129" s="2"/>
      <c r="N129" s="19">
        <f t="shared" si="20"/>
        <v>-1</v>
      </c>
      <c r="O129" s="11"/>
      <c r="P129" s="2">
        <v>0</v>
      </c>
      <c r="Q129" s="2"/>
      <c r="R129" s="19">
        <f t="shared" si="21"/>
        <v>0</v>
      </c>
      <c r="S129" s="2"/>
      <c r="T129" s="2">
        <v>1134.81</v>
      </c>
      <c r="U129" s="2"/>
      <c r="V129" s="19">
        <f t="shared" si="22"/>
        <v>3.2514818014938042E-4</v>
      </c>
      <c r="W129" s="2"/>
      <c r="X129" s="2">
        <f t="shared" si="23"/>
        <v>-1134.81</v>
      </c>
      <c r="Y129" s="2"/>
      <c r="Z129" s="19">
        <f t="shared" si="24"/>
        <v>-1</v>
      </c>
    </row>
    <row r="130" spans="1:26" s="24" customFormat="1" hidden="1" outlineLevel="1" x14ac:dyDescent="0.25">
      <c r="A130" s="44"/>
      <c r="B130" s="11" t="str">
        <f>CONCATENATE("          ", "5542", " - ", "FREIGHT-IN-EVERYDAY GIFTS")</f>
        <v xml:space="preserve">          5542 - FREIGHT-IN-EVERYDAY GIFTS</v>
      </c>
      <c r="C130" s="11"/>
      <c r="D130" s="2"/>
      <c r="E130" s="2"/>
      <c r="F130" s="19">
        <f t="shared" si="17"/>
        <v>0</v>
      </c>
      <c r="G130" s="2"/>
      <c r="H130" s="2">
        <v>104.17</v>
      </c>
      <c r="I130" s="2"/>
      <c r="J130" s="19">
        <f t="shared" si="18"/>
        <v>3.1287371882687354E-4</v>
      </c>
      <c r="K130" s="2"/>
      <c r="L130" s="2">
        <f t="shared" si="19"/>
        <v>-104.17</v>
      </c>
      <c r="M130" s="2"/>
      <c r="N130" s="19">
        <f t="shared" si="20"/>
        <v>-1</v>
      </c>
      <c r="O130" s="11"/>
      <c r="P130" s="2">
        <v>0</v>
      </c>
      <c r="Q130" s="2"/>
      <c r="R130" s="19">
        <f t="shared" si="21"/>
        <v>0</v>
      </c>
      <c r="S130" s="2"/>
      <c r="T130" s="2">
        <v>175.55</v>
      </c>
      <c r="U130" s="2"/>
      <c r="V130" s="19">
        <f t="shared" si="22"/>
        <v>5.0298960200583133E-5</v>
      </c>
      <c r="W130" s="2"/>
      <c r="X130" s="2">
        <f t="shared" si="23"/>
        <v>-175.55</v>
      </c>
      <c r="Y130" s="2"/>
      <c r="Z130" s="19">
        <f t="shared" si="24"/>
        <v>-1</v>
      </c>
    </row>
    <row r="131" spans="1:26" s="24" customFormat="1" hidden="1" outlineLevel="1" x14ac:dyDescent="0.25">
      <c r="A131" s="44"/>
      <c r="B131" s="11" t="str">
        <f>CONCATENATE("          ", "5543", " - ", "FREIGHT-IN-CARDS")</f>
        <v xml:space="preserve">          5543 - FREIGHT-IN-CARDS</v>
      </c>
      <c r="C131" s="11"/>
      <c r="D131" s="2"/>
      <c r="E131" s="2"/>
      <c r="F131" s="19">
        <f t="shared" si="17"/>
        <v>0</v>
      </c>
      <c r="G131" s="2"/>
      <c r="H131" s="2">
        <v>107.42</v>
      </c>
      <c r="I131" s="2"/>
      <c r="J131" s="19">
        <f t="shared" si="18"/>
        <v>3.2263506649114673E-4</v>
      </c>
      <c r="K131" s="2"/>
      <c r="L131" s="2">
        <f t="shared" si="19"/>
        <v>-107.42</v>
      </c>
      <c r="M131" s="2"/>
      <c r="N131" s="19">
        <f t="shared" si="20"/>
        <v>-1</v>
      </c>
      <c r="O131" s="11"/>
      <c r="P131" s="2"/>
      <c r="Q131" s="2"/>
      <c r="R131" s="19">
        <f t="shared" si="21"/>
        <v>0</v>
      </c>
      <c r="S131" s="2"/>
      <c r="T131" s="2">
        <v>189.19</v>
      </c>
      <c r="U131" s="2"/>
      <c r="V131" s="19">
        <f t="shared" si="22"/>
        <v>5.420712207546751E-5</v>
      </c>
      <c r="W131" s="2"/>
      <c r="X131" s="2">
        <f t="shared" si="23"/>
        <v>-189.19</v>
      </c>
      <c r="Y131" s="2"/>
      <c r="Z131" s="19">
        <f t="shared" si="24"/>
        <v>-1</v>
      </c>
    </row>
    <row r="132" spans="1:26" s="24" customFormat="1" hidden="1" outlineLevel="1" x14ac:dyDescent="0.25">
      <c r="A132" s="44"/>
      <c r="B132" s="11" t="str">
        <f>CONCATENATE("          ", "5544", " - ", "FREIGHT-IN-ACCESSORIES")</f>
        <v xml:space="preserve">          5544 - FREIGHT-IN-ACCESSORIES</v>
      </c>
      <c r="C132" s="11"/>
      <c r="D132" s="2"/>
      <c r="E132" s="2"/>
      <c r="F132" s="19">
        <f t="shared" si="17"/>
        <v>0</v>
      </c>
      <c r="G132" s="2"/>
      <c r="H132" s="2"/>
      <c r="I132" s="2"/>
      <c r="J132" s="19">
        <f t="shared" si="18"/>
        <v>0</v>
      </c>
      <c r="K132" s="2"/>
      <c r="L132" s="2">
        <f t="shared" si="19"/>
        <v>0</v>
      </c>
      <c r="M132" s="2"/>
      <c r="N132" s="19">
        <f t="shared" si="20"/>
        <v>0</v>
      </c>
      <c r="O132" s="11"/>
      <c r="P132" s="2">
        <v>0</v>
      </c>
      <c r="Q132" s="2"/>
      <c r="R132" s="19">
        <f t="shared" si="21"/>
        <v>0</v>
      </c>
      <c r="S132" s="2"/>
      <c r="T132" s="2"/>
      <c r="U132" s="2"/>
      <c r="V132" s="19">
        <f t="shared" si="22"/>
        <v>0</v>
      </c>
      <c r="W132" s="2"/>
      <c r="X132" s="2">
        <f t="shared" si="23"/>
        <v>0</v>
      </c>
      <c r="Y132" s="2"/>
      <c r="Z132" s="19">
        <f t="shared" si="24"/>
        <v>0</v>
      </c>
    </row>
    <row r="133" spans="1:26" s="24" customFormat="1" hidden="1" outlineLevel="1" x14ac:dyDescent="0.25">
      <c r="A133" s="44"/>
      <c r="B133" s="11" t="str">
        <f>CONCATENATE("          ", "5545", " - ", "FREIGHT-IN-SPECIAL ORDERS")</f>
        <v xml:space="preserve">          5545 - FREIGHT-IN-SPECIAL ORDERS</v>
      </c>
      <c r="C133" s="11"/>
      <c r="D133" s="2"/>
      <c r="E133" s="2"/>
      <c r="F133" s="19">
        <f t="shared" si="17"/>
        <v>0</v>
      </c>
      <c r="G133" s="2"/>
      <c r="H133" s="2">
        <v>189.66</v>
      </c>
      <c r="I133" s="2"/>
      <c r="J133" s="19">
        <f t="shared" si="18"/>
        <v>5.6964221477109368E-4</v>
      </c>
      <c r="K133" s="2"/>
      <c r="L133" s="2">
        <f t="shared" si="19"/>
        <v>-189.66</v>
      </c>
      <c r="M133" s="2"/>
      <c r="N133" s="19">
        <f t="shared" si="20"/>
        <v>-1</v>
      </c>
      <c r="O133" s="11"/>
      <c r="P133" s="2">
        <v>0</v>
      </c>
      <c r="Q133" s="2"/>
      <c r="R133" s="19">
        <f t="shared" si="21"/>
        <v>0</v>
      </c>
      <c r="S133" s="2"/>
      <c r="T133" s="2">
        <v>850.27</v>
      </c>
      <c r="U133" s="2"/>
      <c r="V133" s="19">
        <f t="shared" si="22"/>
        <v>2.436211728268289E-4</v>
      </c>
      <c r="W133" s="2"/>
      <c r="X133" s="2">
        <f t="shared" si="23"/>
        <v>-850.27</v>
      </c>
      <c r="Y133" s="2"/>
      <c r="Z133" s="19">
        <f t="shared" si="24"/>
        <v>-1</v>
      </c>
    </row>
    <row r="134" spans="1:26" s="24" customFormat="1" hidden="1" outlineLevel="1" x14ac:dyDescent="0.25">
      <c r="A134" s="44"/>
      <c r="B134" s="11" t="str">
        <f>CONCATENATE("          ", "5582", " - ", "FREIGHT-IN-COMPUTER HARDWARE")</f>
        <v xml:space="preserve">          5582 - FREIGHT-IN-COMPUTER HARDWARE</v>
      </c>
      <c r="C134" s="11"/>
      <c r="D134" s="2"/>
      <c r="E134" s="2"/>
      <c r="F134" s="19">
        <f t="shared" si="17"/>
        <v>0</v>
      </c>
      <c r="G134" s="2"/>
      <c r="H134" s="2">
        <v>70</v>
      </c>
      <c r="I134" s="2"/>
      <c r="J134" s="19">
        <f t="shared" si="18"/>
        <v>2.1024441123049963E-4</v>
      </c>
      <c r="K134" s="2"/>
      <c r="L134" s="2">
        <f t="shared" si="19"/>
        <v>-70</v>
      </c>
      <c r="M134" s="2"/>
      <c r="N134" s="19">
        <f t="shared" si="20"/>
        <v>-1</v>
      </c>
      <c r="O134" s="11"/>
      <c r="P134" s="2"/>
      <c r="Q134" s="2"/>
      <c r="R134" s="19">
        <f t="shared" si="21"/>
        <v>0</v>
      </c>
      <c r="S134" s="2"/>
      <c r="T134" s="2">
        <v>94</v>
      </c>
      <c r="U134" s="2"/>
      <c r="V134" s="19">
        <f t="shared" si="22"/>
        <v>2.6933080369437848E-5</v>
      </c>
      <c r="W134" s="2"/>
      <c r="X134" s="2">
        <f t="shared" si="23"/>
        <v>-94</v>
      </c>
      <c r="Y134" s="2"/>
      <c r="Z134" s="19">
        <f t="shared" si="24"/>
        <v>-1</v>
      </c>
    </row>
    <row r="135" spans="1:26" s="24" customFormat="1" hidden="1" outlineLevel="1" x14ac:dyDescent="0.25">
      <c r="A135" s="44"/>
      <c r="B135" s="11" t="str">
        <f>CONCATENATE("          ", "5583", " - ", "FREIGHT-IN-COMPUTER EQUIPMENT")</f>
        <v xml:space="preserve">          5583 - FREIGHT-IN-COMPUTER EQUIPMENT</v>
      </c>
      <c r="C135" s="11"/>
      <c r="D135" s="2"/>
      <c r="E135" s="2"/>
      <c r="F135" s="19">
        <f t="shared" si="17"/>
        <v>0</v>
      </c>
      <c r="G135" s="2"/>
      <c r="H135" s="2">
        <v>51.78</v>
      </c>
      <c r="I135" s="2"/>
      <c r="J135" s="19">
        <f t="shared" si="18"/>
        <v>1.5552079447878959E-4</v>
      </c>
      <c r="K135" s="2"/>
      <c r="L135" s="2">
        <f t="shared" si="19"/>
        <v>-51.78</v>
      </c>
      <c r="M135" s="2"/>
      <c r="N135" s="19">
        <f t="shared" si="20"/>
        <v>-1</v>
      </c>
      <c r="O135" s="11"/>
      <c r="P135" s="2">
        <v>0</v>
      </c>
      <c r="Q135" s="2"/>
      <c r="R135" s="19">
        <f t="shared" si="21"/>
        <v>0</v>
      </c>
      <c r="S135" s="2"/>
      <c r="T135" s="2">
        <v>225.17</v>
      </c>
      <c r="U135" s="2"/>
      <c r="V135" s="19">
        <f t="shared" si="22"/>
        <v>6.4516188370067229E-5</v>
      </c>
      <c r="W135" s="2"/>
      <c r="X135" s="2">
        <f t="shared" si="23"/>
        <v>-225.17</v>
      </c>
      <c r="Y135" s="2"/>
      <c r="Z135" s="19">
        <f t="shared" si="24"/>
        <v>-1</v>
      </c>
    </row>
    <row r="136" spans="1:26" s="24" customFormat="1" hidden="1" outlineLevel="1" x14ac:dyDescent="0.25">
      <c r="A136" s="44"/>
      <c r="B136" s="11" t="str">
        <f>CONCATENATE("          ", "5586", " - ", "FREIGHT-IN-COMPUTER SUPPLIES")</f>
        <v xml:space="preserve">          5586 - FREIGHT-IN-COMPUTER SUPPLIES</v>
      </c>
      <c r="C136" s="11"/>
      <c r="D136" s="2"/>
      <c r="E136" s="2"/>
      <c r="F136" s="19">
        <f t="shared" si="17"/>
        <v>0</v>
      </c>
      <c r="G136" s="2"/>
      <c r="H136" s="2"/>
      <c r="I136" s="2"/>
      <c r="J136" s="19">
        <f t="shared" si="18"/>
        <v>0</v>
      </c>
      <c r="K136" s="2"/>
      <c r="L136" s="2">
        <f t="shared" si="19"/>
        <v>0</v>
      </c>
      <c r="M136" s="2"/>
      <c r="N136" s="19">
        <f t="shared" si="20"/>
        <v>0</v>
      </c>
      <c r="O136" s="11"/>
      <c r="P136" s="2"/>
      <c r="Q136" s="2"/>
      <c r="R136" s="19">
        <f t="shared" si="21"/>
        <v>0</v>
      </c>
      <c r="S136" s="2"/>
      <c r="T136" s="2">
        <v>24.12</v>
      </c>
      <c r="U136" s="2"/>
      <c r="V136" s="19">
        <f t="shared" si="22"/>
        <v>6.9109138139451162E-6</v>
      </c>
      <c r="W136" s="2"/>
      <c r="X136" s="2">
        <f t="shared" si="23"/>
        <v>-24.12</v>
      </c>
      <c r="Y136" s="2"/>
      <c r="Z136" s="19">
        <f t="shared" si="24"/>
        <v>-1</v>
      </c>
    </row>
    <row r="137" spans="1:26" s="24" customFormat="1" hidden="1" outlineLevel="1" x14ac:dyDescent="0.25">
      <c r="A137" s="44"/>
      <c r="B137" s="11" t="str">
        <f>CONCATENATE("          ", "5592", " - ", "FREIGHT-IN-GRAD MERCH")</f>
        <v xml:space="preserve">          5592 - FREIGHT-IN-GRAD MERCH</v>
      </c>
      <c r="C137" s="11"/>
      <c r="D137" s="2"/>
      <c r="E137" s="2"/>
      <c r="F137" s="19">
        <f t="shared" si="17"/>
        <v>0</v>
      </c>
      <c r="G137" s="2"/>
      <c r="H137" s="2"/>
      <c r="I137" s="2"/>
      <c r="J137" s="19">
        <f t="shared" si="18"/>
        <v>0</v>
      </c>
      <c r="K137" s="2"/>
      <c r="L137" s="2">
        <f t="shared" si="19"/>
        <v>0</v>
      </c>
      <c r="M137" s="2"/>
      <c r="N137" s="19">
        <f t="shared" si="20"/>
        <v>0</v>
      </c>
      <c r="O137" s="11"/>
      <c r="P137" s="2"/>
      <c r="Q137" s="2"/>
      <c r="R137" s="19">
        <f t="shared" si="21"/>
        <v>0</v>
      </c>
      <c r="S137" s="2"/>
      <c r="T137" s="2">
        <v>0</v>
      </c>
      <c r="U137" s="2"/>
      <c r="V137" s="19">
        <f t="shared" si="22"/>
        <v>0</v>
      </c>
      <c r="W137" s="2"/>
      <c r="X137" s="2">
        <f t="shared" si="23"/>
        <v>0</v>
      </c>
      <c r="Y137" s="2"/>
      <c r="Z137" s="19">
        <f t="shared" si="24"/>
        <v>0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10"/>
      <c r="B139" s="26" t="s">
        <v>107</v>
      </c>
      <c r="C139" s="26"/>
      <c r="D139" s="22">
        <f>D12-D92</f>
        <v>238472.60000000003</v>
      </c>
      <c r="E139" s="13"/>
      <c r="F139" s="20">
        <f>IF(D$12=0,0,D139/D$12)</f>
        <v>0.35200799499793045</v>
      </c>
      <c r="G139" s="13"/>
      <c r="H139" s="22">
        <f>H12-H92</f>
        <v>89752.329999999871</v>
      </c>
      <c r="I139" s="13"/>
      <c r="J139" s="20">
        <f>IF(H$12=0,0,H139/H$12)</f>
        <v>0.2695703682487926</v>
      </c>
      <c r="K139" s="15"/>
      <c r="L139" s="22">
        <f>+D139-H139</f>
        <v>148720.27000000016</v>
      </c>
      <c r="M139" s="15"/>
      <c r="N139" s="20">
        <f>IF(H139=0,0,L139/H139)</f>
        <v>1.6570073445447084</v>
      </c>
      <c r="O139" s="25"/>
      <c r="P139" s="22">
        <f>P12-P92</f>
        <v>1173263.5400000005</v>
      </c>
      <c r="Q139" s="13"/>
      <c r="R139" s="20">
        <f>IF(P$12=0,0,P139/P$12)</f>
        <v>0.3251164355087085</v>
      </c>
      <c r="S139" s="13"/>
      <c r="T139" s="22">
        <f>T12-T92</f>
        <v>868426.85999999987</v>
      </c>
      <c r="U139" s="13"/>
      <c r="V139" s="20">
        <f>IF(T$12=0,0,T139/T$12)</f>
        <v>0.24882351505700581</v>
      </c>
      <c r="W139" s="15"/>
      <c r="X139" s="22">
        <f>+P139-T139</f>
        <v>304836.68000000063</v>
      </c>
      <c r="Y139" s="15"/>
      <c r="Z139" s="20">
        <f>IF(T139=0,0,X139/T139)</f>
        <v>0.35102170837967939</v>
      </c>
    </row>
    <row r="140" spans="1:26" x14ac:dyDescent="0.25">
      <c r="A140" s="9"/>
      <c r="B140" s="10"/>
      <c r="C140" s="9"/>
      <c r="D140" s="1"/>
      <c r="E140" s="1"/>
      <c r="F140" s="5"/>
      <c r="G140" s="1"/>
      <c r="H140" s="1"/>
      <c r="I140" s="1"/>
      <c r="J140" s="5"/>
      <c r="K140" s="1"/>
      <c r="L140" s="1"/>
      <c r="M140" s="1"/>
      <c r="N140" s="5"/>
      <c r="O140" s="37"/>
      <c r="P140" s="1"/>
      <c r="Q140" s="1"/>
      <c r="R140" s="5"/>
      <c r="S140" s="1"/>
      <c r="T140" s="1"/>
      <c r="U140" s="1"/>
      <c r="V140" s="5"/>
      <c r="W140" s="1"/>
      <c r="X140" s="1"/>
      <c r="Y140" s="1"/>
      <c r="Z140" s="5"/>
    </row>
    <row r="141" spans="1:26" s="23" customFormat="1" x14ac:dyDescent="0.25">
      <c r="A141" s="10"/>
      <c r="B141" s="25" t="s">
        <v>294</v>
      </c>
      <c r="C141" s="10"/>
      <c r="D141" s="21">
        <f>SUM(OSRRefD22x_0)</f>
        <v>347091.70000000007</v>
      </c>
      <c r="E141" s="21"/>
      <c r="F141" s="36">
        <f t="shared" ref="F141:F152" si="25">IF(D$12=0,0,D141/D$12)</f>
        <v>0.51234000634631893</v>
      </c>
      <c r="G141" s="21"/>
      <c r="H141" s="21">
        <f>SUM(OSRRefH22x_0)</f>
        <v>335616.08000000007</v>
      </c>
      <c r="I141" s="21"/>
      <c r="J141" s="36">
        <f t="shared" ref="J141:J152" si="26">IF(H$12=0,0,H141/H$12)</f>
        <v>1.0080200734155469</v>
      </c>
      <c r="K141" s="4"/>
      <c r="L141" s="21">
        <f t="shared" ref="L141:L152" si="27">+D141-H141</f>
        <v>11475.619999999995</v>
      </c>
      <c r="M141" s="4"/>
      <c r="N141" s="36">
        <f t="shared" ref="N141:N152" si="28">IF(H141=0,0,L141/H141)</f>
        <v>3.4192700182899438E-2</v>
      </c>
      <c r="O141" s="10"/>
      <c r="P141" s="21">
        <f>SUM(OSRRefP22x_0)</f>
        <v>1385478.74</v>
      </c>
      <c r="Q141" s="21"/>
      <c r="R141" s="36">
        <f t="shared" ref="R141:R152" si="29">IF(P$12=0,0,P141/P$12)</f>
        <v>0.38392219144719736</v>
      </c>
      <c r="S141" s="21"/>
      <c r="T141" s="21">
        <f>SUM(OSRRefT22x_0)</f>
        <v>1177145.92</v>
      </c>
      <c r="U141" s="21"/>
      <c r="V141" s="36">
        <f t="shared" ref="V141:V152" si="30">IF(T$12=0,0,T141/T$12)</f>
        <v>0.33727835819059415</v>
      </c>
      <c r="W141" s="4"/>
      <c r="X141" s="21">
        <f t="shared" ref="X141:X152" si="31">+P141-T141</f>
        <v>208332.82000000007</v>
      </c>
      <c r="Y141" s="4"/>
      <c r="Z141" s="36">
        <f t="shared" ref="Z141:Z152" si="32">IF(T141=0,0,X141/T141)</f>
        <v>0.17698130406806326</v>
      </c>
    </row>
    <row r="142" spans="1:26" s="28" customFormat="1" outlineLevel="1" collapsed="1" x14ac:dyDescent="0.25">
      <c r="A142" s="27"/>
      <c r="B142" s="14" t="str">
        <f>CONCATENATE("     ","*Benefits                                         ")</f>
        <v xml:space="preserve">     *Benefits                                         </v>
      </c>
      <c r="C142" s="14"/>
      <c r="D142" s="1">
        <f>SUM(OSRRefD22_0x_0)</f>
        <v>62132.15</v>
      </c>
      <c r="E142" s="1"/>
      <c r="F142" s="5">
        <f t="shared" si="25"/>
        <v>9.1712899286587476E-2</v>
      </c>
      <c r="G142" s="1"/>
      <c r="H142" s="1">
        <f>SUM(OSRRefH22_0x_0)</f>
        <v>51389.229999999996</v>
      </c>
      <c r="I142" s="1"/>
      <c r="J142" s="5">
        <f t="shared" si="26"/>
        <v>0.15434712007055326</v>
      </c>
      <c r="K142" s="1"/>
      <c r="L142" s="1">
        <f t="shared" si="27"/>
        <v>10742.920000000006</v>
      </c>
      <c r="M142" s="1"/>
      <c r="N142" s="5">
        <f t="shared" si="28"/>
        <v>0.20905002857602667</v>
      </c>
      <c r="O142" s="14"/>
      <c r="P142" s="1">
        <f>SUM(OSRRefP22_0x_0)</f>
        <v>212404.48000000001</v>
      </c>
      <c r="Q142" s="1"/>
      <c r="R142" s="5">
        <f t="shared" si="29"/>
        <v>5.8858206250644023E-2</v>
      </c>
      <c r="S142" s="1"/>
      <c r="T142" s="1">
        <f>SUM(OSRRefT22_0x_0)</f>
        <v>192868.53999999998</v>
      </c>
      <c r="U142" s="1"/>
      <c r="V142" s="5">
        <f t="shared" si="30"/>
        <v>5.5261105197405722E-2</v>
      </c>
      <c r="W142" s="1"/>
      <c r="X142" s="1">
        <f t="shared" si="31"/>
        <v>19535.940000000031</v>
      </c>
      <c r="Y142" s="1"/>
      <c r="Z142" s="5">
        <f t="shared" si="32"/>
        <v>0.1012914807153102</v>
      </c>
    </row>
    <row r="143" spans="1:26" s="24" customFormat="1" hidden="1" outlineLevel="2" x14ac:dyDescent="0.25">
      <c r="A143" s="29"/>
      <c r="B143" s="11" t="str">
        <f>CONCATENATE("          ", "6111", " - ", "F.I.C.A.")</f>
        <v xml:space="preserve">          6111 - F.I.C.A.</v>
      </c>
      <c r="C143" s="11"/>
      <c r="D143" s="6">
        <v>11388.1</v>
      </c>
      <c r="E143" s="2"/>
      <c r="F143" s="7">
        <f t="shared" si="25"/>
        <v>1.6809907082976961E-2</v>
      </c>
      <c r="G143" s="2"/>
      <c r="H143" s="6">
        <v>13030.49</v>
      </c>
      <c r="I143" s="2"/>
      <c r="J143" s="7">
        <f t="shared" si="26"/>
        <v>3.9136967115641616E-2</v>
      </c>
      <c r="K143" s="2"/>
      <c r="L143" s="6">
        <f t="shared" si="27"/>
        <v>-1642.3899999999994</v>
      </c>
      <c r="M143" s="2"/>
      <c r="N143" s="7">
        <f t="shared" si="28"/>
        <v>-0.12604207516371213</v>
      </c>
      <c r="O143" s="11"/>
      <c r="P143" s="6">
        <v>42544.73</v>
      </c>
      <c r="Q143" s="2"/>
      <c r="R143" s="7">
        <f t="shared" si="29"/>
        <v>1.178932992947212E-2</v>
      </c>
      <c r="S143" s="2"/>
      <c r="T143" s="6">
        <v>44206.879999999997</v>
      </c>
      <c r="U143" s="2"/>
      <c r="V143" s="7">
        <f t="shared" si="30"/>
        <v>1.266624948853292E-2</v>
      </c>
      <c r="W143" s="2"/>
      <c r="X143" s="6">
        <f t="shared" si="31"/>
        <v>-1662.1499999999942</v>
      </c>
      <c r="Y143" s="2"/>
      <c r="Z143" s="7">
        <f t="shared" si="32"/>
        <v>-3.7599351051238954E-2</v>
      </c>
    </row>
    <row r="144" spans="1:26" s="24" customFormat="1" hidden="1" outlineLevel="2" x14ac:dyDescent="0.25">
      <c r="A144" s="29"/>
      <c r="B144" s="11" t="str">
        <f>CONCATENATE("          ", "6112", " - ", "COMPENSATION INSURANCE")</f>
        <v xml:space="preserve">          6112 - COMPENSATION INSURANCE</v>
      </c>
      <c r="C144" s="11"/>
      <c r="D144" s="6">
        <v>3479.06</v>
      </c>
      <c r="E144" s="2"/>
      <c r="F144" s="7">
        <f t="shared" si="25"/>
        <v>5.1354198976213605E-3</v>
      </c>
      <c r="G144" s="2"/>
      <c r="H144" s="6">
        <v>1900.4</v>
      </c>
      <c r="I144" s="2"/>
      <c r="J144" s="7">
        <f t="shared" si="26"/>
        <v>5.7078354157491648E-3</v>
      </c>
      <c r="K144" s="2"/>
      <c r="L144" s="6">
        <f t="shared" si="27"/>
        <v>1578.6599999999999</v>
      </c>
      <c r="M144" s="2"/>
      <c r="N144" s="7">
        <f t="shared" si="28"/>
        <v>0.83069880025257825</v>
      </c>
      <c r="O144" s="11"/>
      <c r="P144" s="6">
        <v>10903.58</v>
      </c>
      <c r="Q144" s="2"/>
      <c r="R144" s="7">
        <f t="shared" si="29"/>
        <v>3.0214294939089662E-3</v>
      </c>
      <c r="S144" s="2"/>
      <c r="T144" s="6">
        <v>10427.35</v>
      </c>
      <c r="U144" s="2"/>
      <c r="V144" s="7">
        <f t="shared" si="30"/>
        <v>2.9876665488325293E-3</v>
      </c>
      <c r="W144" s="2"/>
      <c r="X144" s="6">
        <f t="shared" si="31"/>
        <v>476.22999999999956</v>
      </c>
      <c r="Y144" s="2"/>
      <c r="Z144" s="7">
        <f t="shared" si="32"/>
        <v>4.5671239576690101E-2</v>
      </c>
    </row>
    <row r="145" spans="1:26" s="24" customFormat="1" hidden="1" outlineLevel="2" x14ac:dyDescent="0.25">
      <c r="A145" s="29"/>
      <c r="B145" s="11" t="str">
        <f>CONCATENATE("          ", "6113", " - ", "GROUP INSURANCE")</f>
        <v xml:space="preserve">          6113 - GROUP INSURANCE</v>
      </c>
      <c r="C145" s="11"/>
      <c r="D145" s="6">
        <v>19420.740000000002</v>
      </c>
      <c r="E145" s="2"/>
      <c r="F145" s="7">
        <f t="shared" si="25"/>
        <v>2.8666839497603111E-2</v>
      </c>
      <c r="G145" s="2"/>
      <c r="H145" s="6">
        <v>15836.91</v>
      </c>
      <c r="I145" s="2"/>
      <c r="J145" s="7">
        <f t="shared" si="26"/>
        <v>4.7566025980863028E-2</v>
      </c>
      <c r="K145" s="2"/>
      <c r="L145" s="6">
        <f t="shared" si="27"/>
        <v>3583.8300000000017</v>
      </c>
      <c r="M145" s="2"/>
      <c r="N145" s="7">
        <f t="shared" si="28"/>
        <v>0.22629603881060142</v>
      </c>
      <c r="O145" s="11"/>
      <c r="P145" s="6">
        <v>74323.839999999997</v>
      </c>
      <c r="Q145" s="2"/>
      <c r="R145" s="7">
        <f t="shared" si="29"/>
        <v>2.0595459681734894E-2</v>
      </c>
      <c r="S145" s="2"/>
      <c r="T145" s="6">
        <v>62728.97</v>
      </c>
      <c r="U145" s="2"/>
      <c r="V145" s="7">
        <f t="shared" si="30"/>
        <v>1.7973238196830381E-2</v>
      </c>
      <c r="W145" s="2"/>
      <c r="X145" s="6">
        <f t="shared" si="31"/>
        <v>11594.869999999995</v>
      </c>
      <c r="Y145" s="2"/>
      <c r="Z145" s="7">
        <f t="shared" si="32"/>
        <v>0.18484075220747281</v>
      </c>
    </row>
    <row r="146" spans="1:26" s="24" customFormat="1" hidden="1" outlineLevel="2" x14ac:dyDescent="0.25">
      <c r="A146" s="29"/>
      <c r="B146" s="11" t="str">
        <f>CONCATENATE("          ", "6114", " - ", "STATE UNEMPLOYMENT INSURANCE")</f>
        <v xml:space="preserve">          6114 - STATE UNEMPLOYMENT INSURANCE</v>
      </c>
      <c r="C146" s="11"/>
      <c r="D146" s="6">
        <v>625.22</v>
      </c>
      <c r="E146" s="2"/>
      <c r="F146" s="7">
        <f t="shared" si="25"/>
        <v>9.2288354566774568E-4</v>
      </c>
      <c r="G146" s="2"/>
      <c r="H146" s="6">
        <v>324.23</v>
      </c>
      <c r="I146" s="2"/>
      <c r="J146" s="7">
        <f t="shared" si="26"/>
        <v>9.7382207790378428E-4</v>
      </c>
      <c r="K146" s="2"/>
      <c r="L146" s="6">
        <f t="shared" si="27"/>
        <v>300.99</v>
      </c>
      <c r="M146" s="2"/>
      <c r="N146" s="7">
        <f t="shared" si="28"/>
        <v>0.92832248712333831</v>
      </c>
      <c r="O146" s="11"/>
      <c r="P146" s="6">
        <v>1967.34</v>
      </c>
      <c r="Q146" s="2"/>
      <c r="R146" s="7">
        <f t="shared" si="29"/>
        <v>5.4515848010899771E-4</v>
      </c>
      <c r="S146" s="2"/>
      <c r="T146" s="6">
        <v>1518.69</v>
      </c>
      <c r="U146" s="2"/>
      <c r="V146" s="7">
        <f t="shared" si="30"/>
        <v>4.3513829602405922E-4</v>
      </c>
      <c r="W146" s="2"/>
      <c r="X146" s="6">
        <f t="shared" si="31"/>
        <v>448.64999999999986</v>
      </c>
      <c r="Y146" s="2"/>
      <c r="Z146" s="7">
        <f t="shared" si="32"/>
        <v>0.29541907828457409</v>
      </c>
    </row>
    <row r="147" spans="1:26" s="24" customFormat="1" hidden="1" outlineLevel="2" x14ac:dyDescent="0.25">
      <c r="A147" s="29"/>
      <c r="B147" s="11" t="str">
        <f>CONCATENATE("          ", "6115", " - ", "P.E.R.S.")</f>
        <v xml:space="preserve">          6115 - P.E.R.S.</v>
      </c>
      <c r="C147" s="11"/>
      <c r="D147" s="6">
        <v>9593.2199999999993</v>
      </c>
      <c r="E147" s="2"/>
      <c r="F147" s="7">
        <f t="shared" si="25"/>
        <v>1.4160495326398277E-2</v>
      </c>
      <c r="G147" s="2"/>
      <c r="H147" s="6">
        <v>5115.0600000000004</v>
      </c>
      <c r="I147" s="2"/>
      <c r="J147" s="7">
        <f t="shared" si="26"/>
        <v>1.536303968726685E-2</v>
      </c>
      <c r="K147" s="2"/>
      <c r="L147" s="6">
        <f t="shared" si="27"/>
        <v>4478.1599999999989</v>
      </c>
      <c r="M147" s="2"/>
      <c r="N147" s="7">
        <f t="shared" si="28"/>
        <v>0.87548533155036279</v>
      </c>
      <c r="O147" s="11"/>
      <c r="P147" s="6">
        <v>28814.31</v>
      </c>
      <c r="Q147" s="2"/>
      <c r="R147" s="7">
        <f t="shared" si="29"/>
        <v>7.9845707630554433E-3</v>
      </c>
      <c r="S147" s="2"/>
      <c r="T147" s="6">
        <v>25977.06</v>
      </c>
      <c r="U147" s="2"/>
      <c r="V147" s="7">
        <f t="shared" si="30"/>
        <v>7.4430026036352041E-3</v>
      </c>
      <c r="W147" s="2"/>
      <c r="X147" s="6">
        <f t="shared" si="31"/>
        <v>2837.25</v>
      </c>
      <c r="Y147" s="2"/>
      <c r="Z147" s="7">
        <f t="shared" si="32"/>
        <v>0.109221366852138</v>
      </c>
    </row>
    <row r="148" spans="1:26" s="24" customFormat="1" hidden="1" outlineLevel="2" x14ac:dyDescent="0.25">
      <c r="A148" s="29"/>
      <c r="B148" s="11" t="str">
        <f>CONCATENATE("          ", "6116", " - ", "EDUCATIONAL BENEFITS")</f>
        <v xml:space="preserve">          6116 - EDUCATIONAL BENEFITS</v>
      </c>
      <c r="C148" s="11"/>
      <c r="D148" s="6"/>
      <c r="E148" s="2"/>
      <c r="F148" s="7">
        <f t="shared" si="25"/>
        <v>0</v>
      </c>
      <c r="G148" s="2"/>
      <c r="H148" s="6"/>
      <c r="I148" s="2"/>
      <c r="J148" s="7">
        <f t="shared" si="26"/>
        <v>0</v>
      </c>
      <c r="K148" s="2"/>
      <c r="L148" s="6">
        <f t="shared" si="27"/>
        <v>0</v>
      </c>
      <c r="M148" s="2"/>
      <c r="N148" s="7">
        <f t="shared" si="28"/>
        <v>0</v>
      </c>
      <c r="O148" s="11"/>
      <c r="P148" s="6"/>
      <c r="Q148" s="2"/>
      <c r="R148" s="7">
        <f t="shared" si="29"/>
        <v>0</v>
      </c>
      <c r="S148" s="2"/>
      <c r="T148" s="6">
        <v>0</v>
      </c>
      <c r="U148" s="2"/>
      <c r="V148" s="7">
        <f t="shared" si="30"/>
        <v>0</v>
      </c>
      <c r="W148" s="2"/>
      <c r="X148" s="6">
        <f t="shared" si="31"/>
        <v>0</v>
      </c>
      <c r="Y148" s="2"/>
      <c r="Z148" s="7">
        <f t="shared" si="32"/>
        <v>0</v>
      </c>
    </row>
    <row r="149" spans="1:26" s="24" customFormat="1" hidden="1" outlineLevel="2" x14ac:dyDescent="0.25">
      <c r="A149" s="29"/>
      <c r="B149" s="11" t="str">
        <f>CONCATENATE("          ", "6117", " - ", "RETIREMENT STAFF HOURLY")</f>
        <v xml:space="preserve">          6117 - RETIREMENT STAFF HOURLY</v>
      </c>
      <c r="C149" s="11"/>
      <c r="D149" s="6">
        <v>-363.97</v>
      </c>
      <c r="E149" s="2"/>
      <c r="F149" s="7">
        <f t="shared" si="25"/>
        <v>-5.3725396519095582E-4</v>
      </c>
      <c r="G149" s="2"/>
      <c r="H149" s="6">
        <v>378.72</v>
      </c>
      <c r="I149" s="2"/>
      <c r="J149" s="7">
        <f t="shared" si="26"/>
        <v>1.1374823345887833E-3</v>
      </c>
      <c r="K149" s="2"/>
      <c r="L149" s="6">
        <f t="shared" si="27"/>
        <v>-742.69</v>
      </c>
      <c r="M149" s="2"/>
      <c r="N149" s="7">
        <f t="shared" si="28"/>
        <v>-1.9610530207013097</v>
      </c>
      <c r="O149" s="11"/>
      <c r="P149" s="6">
        <v>1858.38</v>
      </c>
      <c r="Q149" s="2"/>
      <c r="R149" s="7">
        <f t="shared" si="29"/>
        <v>5.1496518967995332E-4</v>
      </c>
      <c r="S149" s="2"/>
      <c r="T149" s="6">
        <v>1840.3</v>
      </c>
      <c r="U149" s="2"/>
      <c r="V149" s="7">
        <f t="shared" si="30"/>
        <v>5.2728667876464331E-4</v>
      </c>
      <c r="W149" s="2"/>
      <c r="X149" s="6">
        <f t="shared" si="31"/>
        <v>18.080000000000155</v>
      </c>
      <c r="Y149" s="2"/>
      <c r="Z149" s="7">
        <f t="shared" si="32"/>
        <v>9.8244851382927531E-3</v>
      </c>
    </row>
    <row r="150" spans="1:26" s="24" customFormat="1" hidden="1" outlineLevel="2" x14ac:dyDescent="0.25">
      <c r="A150" s="29"/>
      <c r="B150" s="11" t="str">
        <f>CONCATENATE("          ", "6118", " - ", "VACATION")</f>
        <v xml:space="preserve">          6118 - VACATION</v>
      </c>
      <c r="C150" s="11"/>
      <c r="D150" s="6">
        <v>7935.31</v>
      </c>
      <c r="E150" s="2"/>
      <c r="F150" s="7">
        <f t="shared" si="25"/>
        <v>1.171326417704603E-2</v>
      </c>
      <c r="G150" s="2"/>
      <c r="H150" s="6">
        <v>7230.84</v>
      </c>
      <c r="I150" s="2"/>
      <c r="J150" s="7">
        <f t="shared" si="26"/>
        <v>2.1717767121456372E-2</v>
      </c>
      <c r="K150" s="2"/>
      <c r="L150" s="6">
        <f t="shared" si="27"/>
        <v>704.47000000000025</v>
      </c>
      <c r="M150" s="2"/>
      <c r="N150" s="7">
        <f t="shared" si="28"/>
        <v>9.7425748599056297E-2</v>
      </c>
      <c r="O150" s="11"/>
      <c r="P150" s="6">
        <v>23813.200000000001</v>
      </c>
      <c r="Q150" s="2"/>
      <c r="R150" s="7">
        <f t="shared" si="29"/>
        <v>6.5987414064328414E-3</v>
      </c>
      <c r="S150" s="2"/>
      <c r="T150" s="6">
        <v>22433.81</v>
      </c>
      <c r="U150" s="2"/>
      <c r="V150" s="7">
        <f t="shared" si="30"/>
        <v>6.4277830608797711E-3</v>
      </c>
      <c r="W150" s="2"/>
      <c r="X150" s="6">
        <f t="shared" si="31"/>
        <v>1379.3899999999994</v>
      </c>
      <c r="Y150" s="2"/>
      <c r="Z150" s="7">
        <f t="shared" si="32"/>
        <v>6.1487103617263381E-2</v>
      </c>
    </row>
    <row r="151" spans="1:26" s="24" customFormat="1" hidden="1" outlineLevel="2" x14ac:dyDescent="0.25">
      <c r="A151" s="29"/>
      <c r="B151" s="11" t="str">
        <f>CONCATENATE("          ", "6119", " - ", "SICK LEAVE")</f>
        <v xml:space="preserve">          6119 - SICK LEAVE</v>
      </c>
      <c r="C151" s="11"/>
      <c r="D151" s="6">
        <v>5810.98</v>
      </c>
      <c r="E151" s="2"/>
      <c r="F151" s="7">
        <f t="shared" si="25"/>
        <v>8.5775532231924072E-3</v>
      </c>
      <c r="G151" s="2"/>
      <c r="H151" s="6">
        <v>5525.85</v>
      </c>
      <c r="I151" s="2"/>
      <c r="J151" s="7">
        <f t="shared" si="26"/>
        <v>1.6596843997115092E-2</v>
      </c>
      <c r="K151" s="2"/>
      <c r="L151" s="6">
        <f t="shared" si="27"/>
        <v>285.1299999999992</v>
      </c>
      <c r="M151" s="2"/>
      <c r="N151" s="7">
        <f t="shared" si="28"/>
        <v>5.1599301464932849E-2</v>
      </c>
      <c r="O151" s="11"/>
      <c r="P151" s="6">
        <v>17784.03</v>
      </c>
      <c r="Q151" s="2"/>
      <c r="R151" s="7">
        <f t="shared" si="29"/>
        <v>4.9280321474746702E-3</v>
      </c>
      <c r="S151" s="2"/>
      <c r="T151" s="6">
        <v>16774.02</v>
      </c>
      <c r="U151" s="2"/>
      <c r="V151" s="7">
        <f t="shared" si="30"/>
        <v>4.8061279657293388E-3</v>
      </c>
      <c r="W151" s="2"/>
      <c r="X151" s="6">
        <f t="shared" si="31"/>
        <v>1010.0099999999984</v>
      </c>
      <c r="Y151" s="2"/>
      <c r="Z151" s="7">
        <f t="shared" si="32"/>
        <v>6.0212757585838002E-2</v>
      </c>
    </row>
    <row r="152" spans="1:26" s="24" customFormat="1" hidden="1" outlineLevel="2" x14ac:dyDescent="0.25">
      <c r="A152" s="29"/>
      <c r="B152" s="11" t="str">
        <f>CONCATENATE("          ", "6156", " - ", "EMPLOYEE MEALS")</f>
        <v xml:space="preserve">          6156 - EMPLOYEE MEALS</v>
      </c>
      <c r="C152" s="11"/>
      <c r="D152" s="6">
        <v>4243.49</v>
      </c>
      <c r="E152" s="2"/>
      <c r="F152" s="7">
        <f t="shared" si="25"/>
        <v>6.2637905012725469E-3</v>
      </c>
      <c r="G152" s="2"/>
      <c r="H152" s="6">
        <v>2046.73</v>
      </c>
      <c r="I152" s="2"/>
      <c r="J152" s="7">
        <f t="shared" si="26"/>
        <v>6.1473363399685791E-3</v>
      </c>
      <c r="K152" s="2"/>
      <c r="L152" s="6">
        <f t="shared" si="27"/>
        <v>2196.7599999999998</v>
      </c>
      <c r="M152" s="2"/>
      <c r="N152" s="7">
        <f t="shared" si="28"/>
        <v>1.0733022919486204</v>
      </c>
      <c r="O152" s="11"/>
      <c r="P152" s="6">
        <v>10395.07</v>
      </c>
      <c r="Q152" s="2"/>
      <c r="R152" s="7">
        <f t="shared" si="29"/>
        <v>2.880519158776134E-3</v>
      </c>
      <c r="S152" s="2"/>
      <c r="T152" s="6">
        <v>6961.46</v>
      </c>
      <c r="U152" s="2"/>
      <c r="V152" s="7">
        <f t="shared" si="30"/>
        <v>1.9946123581768807E-3</v>
      </c>
      <c r="W152" s="2"/>
      <c r="X152" s="6">
        <f t="shared" si="31"/>
        <v>3433.6099999999997</v>
      </c>
      <c r="Y152" s="2"/>
      <c r="Z152" s="7">
        <f t="shared" si="32"/>
        <v>0.49323130492741463</v>
      </c>
    </row>
    <row r="153" spans="1:26" s="28" customFormat="1" outlineLevel="1" collapsed="1" x14ac:dyDescent="0.25">
      <c r="A153" s="27"/>
      <c r="B153" s="14" t="str">
        <f>CONCATENATE("     ","*Payroll                                          ")</f>
        <v xml:space="preserve">     *Payroll                                          </v>
      </c>
      <c r="C153" s="14"/>
      <c r="D153" s="1">
        <f>SUM(OSRRefD22_1x_0)</f>
        <v>184744.09000000003</v>
      </c>
      <c r="E153" s="1"/>
      <c r="F153" s="5">
        <f t="shared" ref="F153:F160" si="33">IF(D$12=0,0,D153/D$12)</f>
        <v>0.27269965903259835</v>
      </c>
      <c r="G153" s="1"/>
      <c r="H153" s="1">
        <f>SUM(OSRRefH22_1x_0)</f>
        <v>126380.26</v>
      </c>
      <c r="I153" s="1"/>
      <c r="J153" s="5">
        <f t="shared" ref="J153:J160" si="34">IF(H$12=0,0,H153/H$12)</f>
        <v>0.37958204792653516</v>
      </c>
      <c r="K153" s="1"/>
      <c r="L153" s="1">
        <f t="shared" ref="L153:L160" si="35">+D153-H153</f>
        <v>58363.830000000031</v>
      </c>
      <c r="M153" s="1"/>
      <c r="N153" s="5">
        <f t="shared" ref="N153:N160" si="36">IF(H153=0,0,L153/H153)</f>
        <v>0.46181128286965095</v>
      </c>
      <c r="O153" s="14"/>
      <c r="P153" s="1">
        <f>SUM(OSRRefP22_1x_0)</f>
        <v>725906.33999999985</v>
      </c>
      <c r="Q153" s="1"/>
      <c r="R153" s="5">
        <f t="shared" ref="R153:R160" si="37">IF(P$12=0,0,P153/P$12)</f>
        <v>0.20115180752482301</v>
      </c>
      <c r="S153" s="1"/>
      <c r="T153" s="1">
        <f>SUM(OSRRefT22_1x_0)</f>
        <v>550368</v>
      </c>
      <c r="U153" s="1"/>
      <c r="V153" s="5">
        <f t="shared" ref="V153:V160" si="38">IF(T$12=0,0,T153/T$12)</f>
        <v>0.15769261251879541</v>
      </c>
      <c r="W153" s="1"/>
      <c r="X153" s="1">
        <f t="shared" ref="X153:X160" si="39">+P153-T153</f>
        <v>175538.33999999985</v>
      </c>
      <c r="Y153" s="1"/>
      <c r="Z153" s="5">
        <f t="shared" ref="Z153:Z160" si="40">IF(T153=0,0,X153/T153)</f>
        <v>0.31894721350078464</v>
      </c>
    </row>
    <row r="154" spans="1:26" s="24" customFormat="1" hidden="1" outlineLevel="2" x14ac:dyDescent="0.25">
      <c r="A154" s="29"/>
      <c r="B154" s="11" t="str">
        <f>CONCATENATE("          ", "6001", " - ", "ADMINISTRATIVE SALARIES")</f>
        <v xml:space="preserve">          6001 - ADMINISTRATIVE SALARIES</v>
      </c>
      <c r="C154" s="11"/>
      <c r="D154" s="6">
        <v>4926.78</v>
      </c>
      <c r="E154" s="2"/>
      <c r="F154" s="7">
        <f t="shared" si="33"/>
        <v>7.2723908306275165E-3</v>
      </c>
      <c r="G154" s="2"/>
      <c r="H154" s="6">
        <v>4205.17</v>
      </c>
      <c r="I154" s="2"/>
      <c r="J154" s="7">
        <f t="shared" si="34"/>
        <v>1.2630192725345145E-2</v>
      </c>
      <c r="K154" s="2"/>
      <c r="L154" s="6">
        <f t="shared" si="35"/>
        <v>721.60999999999967</v>
      </c>
      <c r="M154" s="2"/>
      <c r="N154" s="7">
        <f t="shared" si="36"/>
        <v>0.171600672505511</v>
      </c>
      <c r="O154" s="11"/>
      <c r="P154" s="6">
        <v>19484.080000000002</v>
      </c>
      <c r="Q154" s="2"/>
      <c r="R154" s="7">
        <f t="shared" si="37"/>
        <v>5.3991234047608043E-3</v>
      </c>
      <c r="S154" s="2"/>
      <c r="T154" s="6">
        <v>17142.5</v>
      </c>
      <c r="U154" s="2"/>
      <c r="V154" s="7">
        <f t="shared" si="38"/>
        <v>4.9117056407775349E-3</v>
      </c>
      <c r="W154" s="2"/>
      <c r="X154" s="6">
        <f t="shared" si="39"/>
        <v>2341.5800000000017</v>
      </c>
      <c r="Y154" s="2"/>
      <c r="Z154" s="7">
        <f t="shared" si="40"/>
        <v>0.13659501239609168</v>
      </c>
    </row>
    <row r="155" spans="1:26" s="24" customFormat="1" hidden="1" outlineLevel="2" x14ac:dyDescent="0.25">
      <c r="A155" s="29"/>
      <c r="B155" s="11" t="str">
        <f>CONCATENATE("          ", "6002", " - ", "STAFF SALARIES")</f>
        <v xml:space="preserve">          6002 - STAFF SALARIES</v>
      </c>
      <c r="C155" s="11"/>
      <c r="D155" s="6">
        <v>64597.599999999999</v>
      </c>
      <c r="E155" s="2"/>
      <c r="F155" s="7">
        <f t="shared" si="33"/>
        <v>9.5352135455722409E-2</v>
      </c>
      <c r="G155" s="2"/>
      <c r="H155" s="6">
        <v>57436.28</v>
      </c>
      <c r="I155" s="2"/>
      <c r="J155" s="7">
        <f t="shared" si="34"/>
        <v>0.17250938388385886</v>
      </c>
      <c r="K155" s="2"/>
      <c r="L155" s="6">
        <f t="shared" si="35"/>
        <v>7161.32</v>
      </c>
      <c r="M155" s="2"/>
      <c r="N155" s="7">
        <f t="shared" si="36"/>
        <v>0.124682865951625</v>
      </c>
      <c r="O155" s="11"/>
      <c r="P155" s="6">
        <v>258602.99</v>
      </c>
      <c r="Q155" s="2"/>
      <c r="R155" s="7">
        <f t="shared" si="37"/>
        <v>7.1660014527251181E-2</v>
      </c>
      <c r="S155" s="2"/>
      <c r="T155" s="6">
        <v>236331.6</v>
      </c>
      <c r="U155" s="2"/>
      <c r="V155" s="7">
        <f t="shared" si="38"/>
        <v>6.7714233794019543E-2</v>
      </c>
      <c r="W155" s="2"/>
      <c r="X155" s="6">
        <f t="shared" si="39"/>
        <v>22271.389999999985</v>
      </c>
      <c r="Y155" s="2"/>
      <c r="Z155" s="7">
        <f t="shared" si="40"/>
        <v>9.4237884396331184E-2</v>
      </c>
    </row>
    <row r="156" spans="1:26" s="24" customFormat="1" hidden="1" outlineLevel="2" x14ac:dyDescent="0.25">
      <c r="A156" s="29"/>
      <c r="B156" s="11" t="str">
        <f>CONCATENATE("          ", "6004", " - ", "STAFF HOURLY")</f>
        <v xml:space="preserve">          6004 - STAFF HOURLY</v>
      </c>
      <c r="C156" s="11"/>
      <c r="D156" s="6">
        <v>35524.94</v>
      </c>
      <c r="E156" s="2"/>
      <c r="F156" s="7">
        <f t="shared" si="33"/>
        <v>5.2438153908758403E-2</v>
      </c>
      <c r="G156" s="2"/>
      <c r="H156" s="6">
        <v>21970.18</v>
      </c>
      <c r="I156" s="2"/>
      <c r="J156" s="7">
        <f t="shared" si="34"/>
        <v>6.5987250838972833E-2</v>
      </c>
      <c r="K156" s="2"/>
      <c r="L156" s="6">
        <f t="shared" si="35"/>
        <v>13554.760000000002</v>
      </c>
      <c r="M156" s="2"/>
      <c r="N156" s="7">
        <f t="shared" si="36"/>
        <v>0.61696171811063916</v>
      </c>
      <c r="O156" s="11"/>
      <c r="P156" s="6">
        <v>100746.86</v>
      </c>
      <c r="Q156" s="2"/>
      <c r="R156" s="7">
        <f t="shared" si="37"/>
        <v>2.7917393573736099E-2</v>
      </c>
      <c r="S156" s="2"/>
      <c r="T156" s="6">
        <v>77997.440000000002</v>
      </c>
      <c r="U156" s="2"/>
      <c r="V156" s="7">
        <f t="shared" si="38"/>
        <v>2.2347992767344747E-2</v>
      </c>
      <c r="W156" s="2"/>
      <c r="X156" s="6">
        <f t="shared" si="39"/>
        <v>22749.42</v>
      </c>
      <c r="Y156" s="2"/>
      <c r="Z156" s="7">
        <f t="shared" si="40"/>
        <v>0.29166880348893498</v>
      </c>
    </row>
    <row r="157" spans="1:26" s="24" customFormat="1" hidden="1" outlineLevel="2" x14ac:dyDescent="0.25">
      <c r="A157" s="29"/>
      <c r="B157" s="11" t="str">
        <f>CONCATENATE("          ", "6005", " - ", "TEMPORARY WAGES-HOURLY")</f>
        <v xml:space="preserve">          6005 - TEMPORARY WAGES-HOURLY</v>
      </c>
      <c r="C157" s="11"/>
      <c r="D157" s="6">
        <v>13892.06</v>
      </c>
      <c r="E157" s="2"/>
      <c r="F157" s="7">
        <f t="shared" si="33"/>
        <v>2.0505987635438826E-2</v>
      </c>
      <c r="G157" s="2"/>
      <c r="H157" s="6">
        <v>19636.400000000001</v>
      </c>
      <c r="I157" s="2"/>
      <c r="J157" s="7">
        <f t="shared" si="34"/>
        <v>5.8977762238379763E-2</v>
      </c>
      <c r="K157" s="2"/>
      <c r="L157" s="6">
        <f t="shared" si="35"/>
        <v>-5744.340000000002</v>
      </c>
      <c r="M157" s="2"/>
      <c r="N157" s="7">
        <f t="shared" si="36"/>
        <v>-0.29253529160131192</v>
      </c>
      <c r="O157" s="11"/>
      <c r="P157" s="6">
        <v>43076.05</v>
      </c>
      <c r="Q157" s="2"/>
      <c r="R157" s="7">
        <f t="shared" si="37"/>
        <v>1.1936561014923294E-2</v>
      </c>
      <c r="S157" s="2"/>
      <c r="T157" s="6">
        <v>80368.899999999994</v>
      </c>
      <c r="U157" s="2"/>
      <c r="V157" s="7">
        <f t="shared" si="38"/>
        <v>2.3027468541524609E-2</v>
      </c>
      <c r="W157" s="2"/>
      <c r="X157" s="6">
        <f t="shared" si="39"/>
        <v>-37292.849999999991</v>
      </c>
      <c r="Y157" s="2"/>
      <c r="Z157" s="7">
        <f t="shared" si="40"/>
        <v>-0.46402090858528605</v>
      </c>
    </row>
    <row r="158" spans="1:26" s="24" customFormat="1" hidden="1" outlineLevel="2" x14ac:dyDescent="0.25">
      <c r="A158" s="29"/>
      <c r="B158" s="11" t="str">
        <f>CONCATENATE("          ", "6006", " - ", "TEMPORARY PART TIME")</f>
        <v xml:space="preserve">          6006 - TEMPORARY PART TIME</v>
      </c>
      <c r="C158" s="11"/>
      <c r="D158" s="6">
        <v>781.97</v>
      </c>
      <c r="E158" s="2"/>
      <c r="F158" s="7">
        <f t="shared" si="33"/>
        <v>1.1542612939538196E-3</v>
      </c>
      <c r="G158" s="2"/>
      <c r="H158" s="6">
        <v>1802.76</v>
      </c>
      <c r="I158" s="2"/>
      <c r="J158" s="7">
        <f t="shared" si="34"/>
        <v>5.4145744969985076E-3</v>
      </c>
      <c r="K158" s="2"/>
      <c r="L158" s="6">
        <f t="shared" si="35"/>
        <v>-1020.79</v>
      </c>
      <c r="M158" s="2"/>
      <c r="N158" s="7">
        <f t="shared" si="36"/>
        <v>-0.56623732499057</v>
      </c>
      <c r="O158" s="11"/>
      <c r="P158" s="6">
        <v>9877.6200000000008</v>
      </c>
      <c r="Q158" s="2"/>
      <c r="R158" s="7">
        <f t="shared" si="37"/>
        <v>2.7371315107171299E-3</v>
      </c>
      <c r="S158" s="2"/>
      <c r="T158" s="6">
        <v>7507.17</v>
      </c>
      <c r="U158" s="2"/>
      <c r="V158" s="7">
        <f t="shared" si="38"/>
        <v>2.150970350606731E-3</v>
      </c>
      <c r="W158" s="2"/>
      <c r="X158" s="6">
        <f t="shared" si="39"/>
        <v>2370.4500000000007</v>
      </c>
      <c r="Y158" s="2"/>
      <c r="Z158" s="7">
        <f t="shared" si="40"/>
        <v>0.31575813522272717</v>
      </c>
    </row>
    <row r="159" spans="1:26" s="24" customFormat="1" hidden="1" outlineLevel="2" x14ac:dyDescent="0.25">
      <c r="A159" s="29"/>
      <c r="B159" s="11" t="str">
        <f>CONCATENATE("          ", "6007", " - ", "STUDENT HOURLY")</f>
        <v xml:space="preserve">          6007 - STUDENT HOURLY</v>
      </c>
      <c r="C159" s="11"/>
      <c r="D159" s="6">
        <v>53383.26</v>
      </c>
      <c r="E159" s="2"/>
      <c r="F159" s="7">
        <f t="shared" si="33"/>
        <v>7.8798714481467552E-2</v>
      </c>
      <c r="G159" s="2"/>
      <c r="H159" s="6">
        <v>19853.45</v>
      </c>
      <c r="I159" s="2"/>
      <c r="J159" s="7">
        <f t="shared" si="34"/>
        <v>5.9629670087773756E-2</v>
      </c>
      <c r="K159" s="2"/>
      <c r="L159" s="6">
        <f t="shared" si="35"/>
        <v>33529.81</v>
      </c>
      <c r="M159" s="2"/>
      <c r="N159" s="7">
        <f t="shared" si="36"/>
        <v>1.6888656631467074</v>
      </c>
      <c r="O159" s="11"/>
      <c r="P159" s="6">
        <v>246457.3</v>
      </c>
      <c r="Q159" s="2"/>
      <c r="R159" s="7">
        <f t="shared" si="37"/>
        <v>6.8294390943999153E-2</v>
      </c>
      <c r="S159" s="2"/>
      <c r="T159" s="6">
        <v>128055.67</v>
      </c>
      <c r="U159" s="2"/>
      <c r="V159" s="7">
        <f t="shared" si="38"/>
        <v>3.6690783530555438E-2</v>
      </c>
      <c r="W159" s="2"/>
      <c r="X159" s="6">
        <f t="shared" si="39"/>
        <v>118401.62999999999</v>
      </c>
      <c r="Y159" s="2"/>
      <c r="Z159" s="7">
        <f t="shared" si="40"/>
        <v>0.92461060099876868</v>
      </c>
    </row>
    <row r="160" spans="1:26" s="24" customFormat="1" hidden="1" outlineLevel="2" x14ac:dyDescent="0.25">
      <c r="A160" s="29"/>
      <c r="B160" s="11" t="str">
        <f>CONCATENATE("          ", "6008", " - ", "STUDENT HOURLY-FICA EXEMPT")</f>
        <v xml:space="preserve">          6008 - STUDENT HOURLY-FICA EXEMPT</v>
      </c>
      <c r="C160" s="11"/>
      <c r="D160" s="6">
        <v>11637.48</v>
      </c>
      <c r="E160" s="2"/>
      <c r="F160" s="7">
        <f t="shared" si="33"/>
        <v>1.7178015426629788E-2</v>
      </c>
      <c r="G160" s="2"/>
      <c r="H160" s="6">
        <v>1476.02</v>
      </c>
      <c r="I160" s="2"/>
      <c r="J160" s="7">
        <f t="shared" si="34"/>
        <v>4.4332136552063155E-3</v>
      </c>
      <c r="K160" s="2"/>
      <c r="L160" s="6">
        <f t="shared" si="35"/>
        <v>10161.459999999999</v>
      </c>
      <c r="M160" s="2"/>
      <c r="N160" s="7">
        <f t="shared" si="36"/>
        <v>6.8843647105052774</v>
      </c>
      <c r="O160" s="11"/>
      <c r="P160" s="6">
        <v>47661.440000000002</v>
      </c>
      <c r="Q160" s="2"/>
      <c r="R160" s="7">
        <f t="shared" si="37"/>
        <v>1.3207192549435375E-2</v>
      </c>
      <c r="S160" s="2"/>
      <c r="T160" s="6">
        <v>2964.72</v>
      </c>
      <c r="U160" s="2"/>
      <c r="V160" s="7">
        <f t="shared" si="38"/>
        <v>8.4945789396680604E-4</v>
      </c>
      <c r="W160" s="2"/>
      <c r="X160" s="6">
        <f t="shared" si="39"/>
        <v>44696.72</v>
      </c>
      <c r="Y160" s="2"/>
      <c r="Z160" s="7">
        <f t="shared" si="40"/>
        <v>15.076202811732644</v>
      </c>
    </row>
    <row r="161" spans="1:26" s="28" customFormat="1" outlineLevel="1" collapsed="1" x14ac:dyDescent="0.25">
      <c r="A161" s="27"/>
      <c r="B161" s="14" t="str">
        <f>CONCATENATE("     ","Advertising/Promo                                 ")</f>
        <v xml:space="preserve">     Advertising/Promo                                 </v>
      </c>
      <c r="C161" s="14"/>
      <c r="D161" s="1">
        <f>SUM(OSRRefD22_2x_0)</f>
        <v>957.25</v>
      </c>
      <c r="E161" s="1"/>
      <c r="F161" s="5">
        <f t="shared" ref="F161:F169" si="41">IF(D$12=0,0,D161/D$12)</f>
        <v>1.4129910656895965E-3</v>
      </c>
      <c r="G161" s="1"/>
      <c r="H161" s="1">
        <f>SUM(OSRRefH22_2x_0)</f>
        <v>1316.16</v>
      </c>
      <c r="I161" s="1"/>
      <c r="J161" s="5">
        <f t="shared" ref="J161:J169" si="42">IF(H$12=0,0,H161/H$12)</f>
        <v>3.9530754897876344E-3</v>
      </c>
      <c r="K161" s="1"/>
      <c r="L161" s="1">
        <f t="shared" ref="L161:L169" si="43">+D161-H161</f>
        <v>-358.91000000000008</v>
      </c>
      <c r="M161" s="1"/>
      <c r="N161" s="5">
        <f t="shared" ref="N161:N169" si="44">IF(H161=0,0,L161/H161)</f>
        <v>-0.27269480914174571</v>
      </c>
      <c r="O161" s="14"/>
      <c r="P161" s="1">
        <f>SUM(OSRRefP22_2x_0)</f>
        <v>3261.49</v>
      </c>
      <c r="Q161" s="1"/>
      <c r="R161" s="5">
        <f t="shared" ref="R161:R169" si="45">IF(P$12=0,0,P161/P$12)</f>
        <v>9.0377308004244053E-4</v>
      </c>
      <c r="S161" s="1"/>
      <c r="T161" s="1">
        <f>SUM(OSRRefT22_2x_0)</f>
        <v>13958.63</v>
      </c>
      <c r="U161" s="1"/>
      <c r="V161" s="5">
        <f t="shared" ref="V161:V169" si="46">IF(T$12=0,0,T161/T$12)</f>
        <v>3.9994564216728314E-3</v>
      </c>
      <c r="W161" s="1"/>
      <c r="X161" s="1">
        <f t="shared" ref="X161:X169" si="47">+P161-T161</f>
        <v>-10697.14</v>
      </c>
      <c r="Y161" s="1"/>
      <c r="Z161" s="5">
        <f t="shared" ref="Z161:Z169" si="48">IF(T161=0,0,X161/T161)</f>
        <v>-0.76634598094512141</v>
      </c>
    </row>
    <row r="162" spans="1:26" s="24" customFormat="1" hidden="1" outlineLevel="2" x14ac:dyDescent="0.25">
      <c r="A162" s="29"/>
      <c r="B162" s="11" t="str">
        <f>CONCATENATE("          ", "6362", " - ", "ADVERTISING EXPENSE")</f>
        <v xml:space="preserve">          6362 - ADVERTISING EXPENSE</v>
      </c>
      <c r="C162" s="11"/>
      <c r="D162" s="6">
        <v>957.25</v>
      </c>
      <c r="E162" s="2"/>
      <c r="F162" s="7">
        <f t="shared" si="41"/>
        <v>1.4129910656895965E-3</v>
      </c>
      <c r="G162" s="2"/>
      <c r="H162" s="6">
        <v>1316.16</v>
      </c>
      <c r="I162" s="2"/>
      <c r="J162" s="7">
        <f t="shared" si="42"/>
        <v>3.9530754897876344E-3</v>
      </c>
      <c r="K162" s="2"/>
      <c r="L162" s="6">
        <f t="shared" si="43"/>
        <v>-358.91000000000008</v>
      </c>
      <c r="M162" s="2"/>
      <c r="N162" s="7">
        <f t="shared" si="44"/>
        <v>-0.27269480914174571</v>
      </c>
      <c r="O162" s="11"/>
      <c r="P162" s="6">
        <v>3261.49</v>
      </c>
      <c r="Q162" s="2"/>
      <c r="R162" s="7">
        <f t="shared" si="45"/>
        <v>9.0377308004244053E-4</v>
      </c>
      <c r="S162" s="2"/>
      <c r="T162" s="6">
        <v>13958.63</v>
      </c>
      <c r="U162" s="2"/>
      <c r="V162" s="7">
        <f t="shared" si="46"/>
        <v>3.9994564216728314E-3</v>
      </c>
      <c r="W162" s="2"/>
      <c r="X162" s="6">
        <f t="shared" si="47"/>
        <v>-10697.14</v>
      </c>
      <c r="Y162" s="2"/>
      <c r="Z162" s="7">
        <f t="shared" si="48"/>
        <v>-0.76634598094512141</v>
      </c>
    </row>
    <row r="163" spans="1:26" s="28" customFormat="1" outlineLevel="1" collapsed="1" x14ac:dyDescent="0.25">
      <c r="A163" s="27"/>
      <c r="B163" s="14" t="str">
        <f>CONCATENATE("     ","Bad Debts/Over/Short                              ")</f>
        <v xml:space="preserve">     Bad Debts/Over/Short                              </v>
      </c>
      <c r="C163" s="14"/>
      <c r="D163" s="1">
        <f>SUM(OSRRefD22_3x_0)</f>
        <v>-30.42</v>
      </c>
      <c r="E163" s="1"/>
      <c r="F163" s="5">
        <f t="shared" si="41"/>
        <v>-4.4902782155421808E-5</v>
      </c>
      <c r="G163" s="1"/>
      <c r="H163" s="1">
        <f>SUM(OSRRefH22_3x_0)</f>
        <v>-29.45</v>
      </c>
      <c r="I163" s="1"/>
      <c r="J163" s="5">
        <f t="shared" si="42"/>
        <v>-8.8452827296260197E-5</v>
      </c>
      <c r="K163" s="1"/>
      <c r="L163" s="1">
        <f t="shared" si="43"/>
        <v>-0.97000000000000242</v>
      </c>
      <c r="M163" s="1"/>
      <c r="N163" s="5">
        <f t="shared" si="44"/>
        <v>3.2937181663837092E-2</v>
      </c>
      <c r="O163" s="14"/>
      <c r="P163" s="1">
        <f>SUM(OSRRefP22_3x_0)</f>
        <v>218.49</v>
      </c>
      <c r="Q163" s="1"/>
      <c r="R163" s="5">
        <f t="shared" si="45"/>
        <v>6.0544530339958989E-5</v>
      </c>
      <c r="S163" s="1"/>
      <c r="T163" s="1">
        <f>SUM(OSRRefT22_3x_0)</f>
        <v>50.56</v>
      </c>
      <c r="U163" s="1"/>
      <c r="V163" s="5">
        <f t="shared" si="46"/>
        <v>1.4486558973178486E-5</v>
      </c>
      <c r="W163" s="1"/>
      <c r="X163" s="1">
        <f t="shared" si="47"/>
        <v>167.93</v>
      </c>
      <c r="Y163" s="1"/>
      <c r="Z163" s="5">
        <f t="shared" si="48"/>
        <v>3.321400316455696</v>
      </c>
    </row>
    <row r="164" spans="1:26" s="24" customFormat="1" hidden="1" outlineLevel="2" x14ac:dyDescent="0.25">
      <c r="A164" s="29"/>
      <c r="B164" s="11" t="str">
        <f>CONCATENATE("          ", "6272", " - ", "CASH (OVER/SHORT)")</f>
        <v xml:space="preserve">          6272 - CASH (OVER/SHORT)</v>
      </c>
      <c r="C164" s="11"/>
      <c r="D164" s="6">
        <v>-30.42</v>
      </c>
      <c r="E164" s="2"/>
      <c r="F164" s="7">
        <f t="shared" si="41"/>
        <v>-4.4902782155421808E-5</v>
      </c>
      <c r="G164" s="2"/>
      <c r="H164" s="6">
        <v>-29.45</v>
      </c>
      <c r="I164" s="2"/>
      <c r="J164" s="7">
        <f t="shared" si="42"/>
        <v>-8.8452827296260197E-5</v>
      </c>
      <c r="K164" s="2"/>
      <c r="L164" s="6">
        <f t="shared" si="43"/>
        <v>-0.97000000000000242</v>
      </c>
      <c r="M164" s="2"/>
      <c r="N164" s="7">
        <f t="shared" si="44"/>
        <v>3.2937181663837092E-2</v>
      </c>
      <c r="O164" s="11"/>
      <c r="P164" s="6">
        <v>218.49</v>
      </c>
      <c r="Q164" s="2"/>
      <c r="R164" s="7">
        <f t="shared" si="45"/>
        <v>6.0544530339958989E-5</v>
      </c>
      <c r="S164" s="2"/>
      <c r="T164" s="6">
        <v>50.56</v>
      </c>
      <c r="U164" s="2"/>
      <c r="V164" s="7">
        <f t="shared" si="46"/>
        <v>1.4486558973178486E-5</v>
      </c>
      <c r="W164" s="2"/>
      <c r="X164" s="6">
        <f t="shared" si="47"/>
        <v>167.93</v>
      </c>
      <c r="Y164" s="2"/>
      <c r="Z164" s="7">
        <f t="shared" si="48"/>
        <v>3.321400316455696</v>
      </c>
    </row>
    <row r="165" spans="1:26" s="28" customFormat="1" outlineLevel="1" collapsed="1" x14ac:dyDescent="0.25">
      <c r="A165" s="27"/>
      <c r="B165" s="14" t="str">
        <f>CONCATENATE("     ","Bank/card Fees                                    ")</f>
        <v xml:space="preserve">     Bank/card Fees                                    </v>
      </c>
      <c r="C165" s="14"/>
      <c r="D165" s="1">
        <f>SUM(OSRRefD22_4x_0)</f>
        <v>12740.8</v>
      </c>
      <c r="E165" s="1"/>
      <c r="F165" s="5">
        <f t="shared" si="41"/>
        <v>1.8806619555746158E-2</v>
      </c>
      <c r="G165" s="1"/>
      <c r="H165" s="1">
        <f>SUM(OSRRefH22_4x_0)</f>
        <v>4891.9799999999996</v>
      </c>
      <c r="I165" s="1"/>
      <c r="J165" s="5">
        <f t="shared" si="42"/>
        <v>1.4693020783591136E-2</v>
      </c>
      <c r="K165" s="1"/>
      <c r="L165" s="1">
        <f t="shared" si="43"/>
        <v>7848.82</v>
      </c>
      <c r="M165" s="1"/>
      <c r="N165" s="5">
        <f t="shared" si="44"/>
        <v>1.6044260197302525</v>
      </c>
      <c r="O165" s="14"/>
      <c r="P165" s="1">
        <f>SUM(OSRRefP22_4x_0)</f>
        <v>50329.49</v>
      </c>
      <c r="Q165" s="1"/>
      <c r="R165" s="5">
        <f t="shared" si="45"/>
        <v>1.3946520821546352E-2</v>
      </c>
      <c r="S165" s="1"/>
      <c r="T165" s="1">
        <f>SUM(OSRRefT22_4x_0)</f>
        <v>39139.75</v>
      </c>
      <c r="U165" s="1"/>
      <c r="V165" s="5">
        <f t="shared" si="46"/>
        <v>1.1214404599890478E-2</v>
      </c>
      <c r="W165" s="1"/>
      <c r="X165" s="1">
        <f t="shared" si="47"/>
        <v>11189.739999999998</v>
      </c>
      <c r="Y165" s="1"/>
      <c r="Z165" s="5">
        <f t="shared" si="48"/>
        <v>0.28589196405189093</v>
      </c>
    </row>
    <row r="166" spans="1:26" s="24" customFormat="1" hidden="1" outlineLevel="2" x14ac:dyDescent="0.25">
      <c r="A166" s="29"/>
      <c r="B166" s="11" t="str">
        <f>CONCATENATE("          ", "6381", " - ", "BANK/CREDIT CARD FEES")</f>
        <v xml:space="preserve">          6381 - BANK/CREDIT CARD FEES</v>
      </c>
      <c r="C166" s="11"/>
      <c r="D166" s="6">
        <v>12740.8</v>
      </c>
      <c r="E166" s="2"/>
      <c r="F166" s="7">
        <f t="shared" si="41"/>
        <v>1.8806619555746158E-2</v>
      </c>
      <c r="G166" s="2"/>
      <c r="H166" s="6">
        <v>4891.9799999999996</v>
      </c>
      <c r="I166" s="2"/>
      <c r="J166" s="7">
        <f t="shared" si="42"/>
        <v>1.4693020783591136E-2</v>
      </c>
      <c r="K166" s="2"/>
      <c r="L166" s="6">
        <f t="shared" si="43"/>
        <v>7848.82</v>
      </c>
      <c r="M166" s="2"/>
      <c r="N166" s="7">
        <f t="shared" si="44"/>
        <v>1.6044260197302525</v>
      </c>
      <c r="O166" s="11"/>
      <c r="P166" s="6">
        <v>50329.49</v>
      </c>
      <c r="Q166" s="2"/>
      <c r="R166" s="7">
        <f t="shared" si="45"/>
        <v>1.3946520821546352E-2</v>
      </c>
      <c r="S166" s="2"/>
      <c r="T166" s="6">
        <v>39139.75</v>
      </c>
      <c r="U166" s="2"/>
      <c r="V166" s="7">
        <f t="shared" si="46"/>
        <v>1.1214404599890478E-2</v>
      </c>
      <c r="W166" s="2"/>
      <c r="X166" s="6">
        <f t="shared" si="47"/>
        <v>11189.739999999998</v>
      </c>
      <c r="Y166" s="2"/>
      <c r="Z166" s="7">
        <f t="shared" si="48"/>
        <v>0.28589196405189093</v>
      </c>
    </row>
    <row r="167" spans="1:26" s="28" customFormat="1" outlineLevel="1" collapsed="1" x14ac:dyDescent="0.25">
      <c r="A167" s="27"/>
      <c r="B167" s="14" t="str">
        <f>CONCATENATE("     ","Depreciation                                      ")</f>
        <v xml:space="preserve">     Depreciation                                      </v>
      </c>
      <c r="C167" s="14"/>
      <c r="D167" s="1">
        <f>SUM(OSRRefD22_5x_0)</f>
        <v>30895.300000000003</v>
      </c>
      <c r="E167" s="1"/>
      <c r="F167" s="5">
        <f t="shared" si="41"/>
        <v>4.5604369675424181E-2</v>
      </c>
      <c r="G167" s="1"/>
      <c r="H167" s="1">
        <f>SUM(OSRRefH22_5x_0)</f>
        <v>31016.300000000003</v>
      </c>
      <c r="I167" s="1"/>
      <c r="J167" s="5">
        <f t="shared" si="42"/>
        <v>9.3157196172122092E-2</v>
      </c>
      <c r="K167" s="1"/>
      <c r="L167" s="1">
        <f t="shared" si="43"/>
        <v>-121</v>
      </c>
      <c r="M167" s="1"/>
      <c r="N167" s="5">
        <f t="shared" si="44"/>
        <v>-3.901174543707663E-3</v>
      </c>
      <c r="O167" s="14"/>
      <c r="P167" s="1">
        <f>SUM(OSRRefP22_5x_0)</f>
        <v>123898.66</v>
      </c>
      <c r="Q167" s="1"/>
      <c r="R167" s="5">
        <f t="shared" si="45"/>
        <v>3.4332858160328911E-2</v>
      </c>
      <c r="S167" s="1"/>
      <c r="T167" s="1">
        <f>SUM(OSRRefT22_5x_0)</f>
        <v>124360.65</v>
      </c>
      <c r="U167" s="1"/>
      <c r="V167" s="5">
        <f t="shared" si="46"/>
        <v>3.5632078523888625E-2</v>
      </c>
      <c r="W167" s="1"/>
      <c r="X167" s="1">
        <f t="shared" si="47"/>
        <v>-461.98999999999069</v>
      </c>
      <c r="Y167" s="1"/>
      <c r="Z167" s="5">
        <f t="shared" si="48"/>
        <v>-3.7149210783313752E-3</v>
      </c>
    </row>
    <row r="168" spans="1:26" s="24" customFormat="1" hidden="1" outlineLevel="2" x14ac:dyDescent="0.25">
      <c r="A168" s="29"/>
      <c r="B168" s="11" t="str">
        <f>CONCATENATE("          ", "6321", " - ", "BUILDING DEPRECIATION")</f>
        <v xml:space="preserve">          6321 - BUILDING DEPRECIATION</v>
      </c>
      <c r="C168" s="11"/>
      <c r="D168" s="6">
        <v>16396.52</v>
      </c>
      <c r="E168" s="2"/>
      <c r="F168" s="7">
        <f t="shared" si="41"/>
        <v>2.4202806234944668E-2</v>
      </c>
      <c r="G168" s="2"/>
      <c r="H168" s="6">
        <v>16396.52</v>
      </c>
      <c r="I168" s="2"/>
      <c r="J168" s="7">
        <f t="shared" si="42"/>
        <v>4.9246809908987312E-2</v>
      </c>
      <c r="K168" s="2"/>
      <c r="L168" s="6">
        <f t="shared" si="43"/>
        <v>0</v>
      </c>
      <c r="M168" s="2"/>
      <c r="N168" s="7">
        <f t="shared" si="44"/>
        <v>0</v>
      </c>
      <c r="O168" s="11"/>
      <c r="P168" s="6">
        <v>65586.080000000002</v>
      </c>
      <c r="Q168" s="2"/>
      <c r="R168" s="7">
        <f t="shared" si="45"/>
        <v>1.8174188340148188E-2</v>
      </c>
      <c r="S168" s="2"/>
      <c r="T168" s="6">
        <v>65586.080000000002</v>
      </c>
      <c r="U168" s="2"/>
      <c r="V168" s="7">
        <f t="shared" si="46"/>
        <v>1.8791863444216812E-2</v>
      </c>
      <c r="W168" s="2"/>
      <c r="X168" s="6">
        <f t="shared" si="47"/>
        <v>0</v>
      </c>
      <c r="Y168" s="2"/>
      <c r="Z168" s="7">
        <f t="shared" si="48"/>
        <v>0</v>
      </c>
    </row>
    <row r="169" spans="1:26" s="24" customFormat="1" hidden="1" outlineLevel="2" x14ac:dyDescent="0.25">
      <c r="A169" s="29"/>
      <c r="B169" s="11" t="str">
        <f>CONCATENATE("          ", "6322", " - ", "EQUIPMENT DEPRECIATION EXPENSE")</f>
        <v xml:space="preserve">          6322 - EQUIPMENT DEPRECIATION EXPENSE</v>
      </c>
      <c r="C169" s="11"/>
      <c r="D169" s="6">
        <v>14498.78</v>
      </c>
      <c r="E169" s="2"/>
      <c r="F169" s="7">
        <f t="shared" si="41"/>
        <v>2.1401563440479509E-2</v>
      </c>
      <c r="G169" s="2"/>
      <c r="H169" s="6">
        <v>14619.78</v>
      </c>
      <c r="I169" s="2"/>
      <c r="J169" s="7">
        <f t="shared" si="42"/>
        <v>4.3910386263134774E-2</v>
      </c>
      <c r="K169" s="2"/>
      <c r="L169" s="6">
        <f t="shared" si="43"/>
        <v>-121</v>
      </c>
      <c r="M169" s="2"/>
      <c r="N169" s="7">
        <f t="shared" si="44"/>
        <v>-8.2764583324783265E-3</v>
      </c>
      <c r="O169" s="11"/>
      <c r="P169" s="6">
        <v>58312.58</v>
      </c>
      <c r="Q169" s="2"/>
      <c r="R169" s="7">
        <f t="shared" si="45"/>
        <v>1.6158669820180722E-2</v>
      </c>
      <c r="S169" s="2"/>
      <c r="T169" s="6">
        <v>58774.57</v>
      </c>
      <c r="U169" s="2"/>
      <c r="V169" s="7">
        <f t="shared" si="46"/>
        <v>1.6840215079671816E-2</v>
      </c>
      <c r="W169" s="2"/>
      <c r="X169" s="6">
        <f t="shared" si="47"/>
        <v>-461.98999999999796</v>
      </c>
      <c r="Y169" s="2"/>
      <c r="Z169" s="7">
        <f t="shared" si="48"/>
        <v>-7.8603722664410472E-3</v>
      </c>
    </row>
    <row r="170" spans="1:26" s="28" customFormat="1" outlineLevel="1" collapsed="1" x14ac:dyDescent="0.25">
      <c r="A170" s="27"/>
      <c r="B170" s="14" t="str">
        <f>CONCATENATE("     ","Discounts and Markdowns                           ")</f>
        <v xml:space="preserve">     Discounts and Markdowns                           </v>
      </c>
      <c r="C170" s="14"/>
      <c r="D170" s="1">
        <f>SUM(OSRRefD22_6x_0)</f>
        <v>-43.75</v>
      </c>
      <c r="E170" s="1"/>
      <c r="F170" s="5">
        <f t="shared" ref="F170:F172" si="49">IF(D$12=0,0,D170/D$12)</f>
        <v>-6.4579116347787774E-5</v>
      </c>
      <c r="G170" s="1"/>
      <c r="H170" s="1">
        <f>SUM(OSRRefH22_6x_0)</f>
        <v>-1249.8000000000002</v>
      </c>
      <c r="I170" s="1"/>
      <c r="J170" s="5">
        <f t="shared" ref="J170:J172" si="50">IF(H$12=0,0,H170/H$12)</f>
        <v>-3.753763787941121E-3</v>
      </c>
      <c r="K170" s="1"/>
      <c r="L170" s="1">
        <f t="shared" ref="L170:L172" si="51">+D170-H170</f>
        <v>1206.0500000000002</v>
      </c>
      <c r="M170" s="1"/>
      <c r="N170" s="5">
        <f t="shared" ref="N170:N172" si="52">IF(H170=0,0,L170/H170)</f>
        <v>-0.96499439910385665</v>
      </c>
      <c r="O170" s="14"/>
      <c r="P170" s="1">
        <f>SUM(OSRRefP22_6x_0)</f>
        <v>-66.239999999999995</v>
      </c>
      <c r="Q170" s="1"/>
      <c r="R170" s="5">
        <f t="shared" ref="R170:R172" si="53">IF(P$12=0,0,P170/P$12)</f>
        <v>-1.8355392419419116E-5</v>
      </c>
      <c r="S170" s="1"/>
      <c r="T170" s="1">
        <f>SUM(OSRRefT22_6x_0)</f>
        <v>-418.85</v>
      </c>
      <c r="U170" s="1"/>
      <c r="V170" s="5">
        <f t="shared" ref="V170:V172" si="54">IF(T$12=0,0,T170/T$12)</f>
        <v>-1.200097948163728E-4</v>
      </c>
      <c r="W170" s="1"/>
      <c r="X170" s="1">
        <f t="shared" ref="X170:X172" si="55">+P170-T170</f>
        <v>352.61</v>
      </c>
      <c r="Y170" s="1"/>
      <c r="Z170" s="5">
        <f t="shared" ref="Z170:Z172" si="56">IF(T170=0,0,X170/T170)</f>
        <v>-0.84185269189447298</v>
      </c>
    </row>
    <row r="171" spans="1:26" s="24" customFormat="1" hidden="1" outlineLevel="2" x14ac:dyDescent="0.25">
      <c r="A171" s="29"/>
      <c r="B171" s="11" t="str">
        <f>CONCATENATE("          ", "6382", " - ", "DISCOUNTS/MARK DOWNS")</f>
        <v xml:space="preserve">          6382 - DISCOUNTS/MARK DOWNS</v>
      </c>
      <c r="C171" s="11"/>
      <c r="D171" s="6"/>
      <c r="E171" s="2"/>
      <c r="F171" s="7">
        <f t="shared" si="49"/>
        <v>0</v>
      </c>
      <c r="G171" s="2"/>
      <c r="H171" s="6">
        <v>-830.95</v>
      </c>
      <c r="I171" s="2"/>
      <c r="J171" s="7">
        <f t="shared" si="50"/>
        <v>-2.4957513358854809E-3</v>
      </c>
      <c r="K171" s="2"/>
      <c r="L171" s="6">
        <f t="shared" si="51"/>
        <v>830.95</v>
      </c>
      <c r="M171" s="2"/>
      <c r="N171" s="7">
        <f t="shared" si="52"/>
        <v>-1</v>
      </c>
      <c r="O171" s="11"/>
      <c r="P171" s="6"/>
      <c r="Q171" s="2"/>
      <c r="R171" s="7">
        <f t="shared" si="53"/>
        <v>0</v>
      </c>
      <c r="S171" s="2"/>
      <c r="T171" s="6">
        <v>0</v>
      </c>
      <c r="U171" s="2"/>
      <c r="V171" s="7">
        <f t="shared" si="54"/>
        <v>0</v>
      </c>
      <c r="W171" s="2"/>
      <c r="X171" s="6">
        <f t="shared" si="55"/>
        <v>0</v>
      </c>
      <c r="Y171" s="2"/>
      <c r="Z171" s="7">
        <f t="shared" si="56"/>
        <v>0</v>
      </c>
    </row>
    <row r="172" spans="1:26" s="24" customFormat="1" hidden="1" outlineLevel="2" x14ac:dyDescent="0.25">
      <c r="A172" s="29"/>
      <c r="B172" s="11" t="str">
        <f>CONCATENATE("          ", "9175", " - ", "EARNED DISCOUNTS")</f>
        <v xml:space="preserve">          9175 - EARNED DISCOUNTS</v>
      </c>
      <c r="C172" s="11"/>
      <c r="D172" s="6">
        <v>-43.75</v>
      </c>
      <c r="E172" s="2"/>
      <c r="F172" s="7">
        <f t="shared" si="49"/>
        <v>-6.4579116347787774E-5</v>
      </c>
      <c r="G172" s="2"/>
      <c r="H172" s="6">
        <v>-418.85</v>
      </c>
      <c r="I172" s="2"/>
      <c r="J172" s="7">
        <f t="shared" si="50"/>
        <v>-1.2580124520556396E-3</v>
      </c>
      <c r="K172" s="2"/>
      <c r="L172" s="6">
        <f t="shared" si="51"/>
        <v>375.1</v>
      </c>
      <c r="M172" s="2"/>
      <c r="N172" s="7">
        <f t="shared" si="52"/>
        <v>-0.89554733198042258</v>
      </c>
      <c r="O172" s="11"/>
      <c r="P172" s="6">
        <v>-66.239999999999995</v>
      </c>
      <c r="Q172" s="2"/>
      <c r="R172" s="7">
        <f t="shared" si="53"/>
        <v>-1.8355392419419116E-5</v>
      </c>
      <c r="S172" s="2"/>
      <c r="T172" s="6">
        <v>-418.85</v>
      </c>
      <c r="U172" s="2"/>
      <c r="V172" s="7">
        <f t="shared" si="54"/>
        <v>-1.200097948163728E-4</v>
      </c>
      <c r="W172" s="2"/>
      <c r="X172" s="6">
        <f t="shared" si="55"/>
        <v>352.61</v>
      </c>
      <c r="Y172" s="2"/>
      <c r="Z172" s="7">
        <f t="shared" si="56"/>
        <v>-0.84185269189447298</v>
      </c>
    </row>
    <row r="173" spans="1:26" s="28" customFormat="1" outlineLevel="1" collapsed="1" x14ac:dyDescent="0.25">
      <c r="A173" s="27"/>
      <c r="B173" s="14" t="str">
        <f>CONCATENATE("     ","Donations                                         ")</f>
        <v xml:space="preserve">     Donations                                         </v>
      </c>
      <c r="C173" s="14"/>
      <c r="D173" s="1">
        <f>SUM(OSRRefD22_7x_0)</f>
        <v>1483.48</v>
      </c>
      <c r="E173" s="1"/>
      <c r="F173" s="5">
        <f t="shared" ref="F173:F181" si="57">IF(D$12=0,0,D173/D$12)</f>
        <v>2.1897560575912275E-3</v>
      </c>
      <c r="G173" s="1"/>
      <c r="H173" s="1">
        <f>SUM(OSRRefH22_7x_0)</f>
        <v>0</v>
      </c>
      <c r="I173" s="1"/>
      <c r="J173" s="5">
        <f t="shared" ref="J173:J181" si="58">IF(H$12=0,0,H173/H$12)</f>
        <v>0</v>
      </c>
      <c r="K173" s="1"/>
      <c r="L173" s="1">
        <f t="shared" ref="L173:L181" si="59">+D173-H173</f>
        <v>1483.48</v>
      </c>
      <c r="M173" s="1"/>
      <c r="N173" s="5">
        <f t="shared" ref="N173:N181" si="60">IF(H173=0,0,L173/H173)</f>
        <v>0</v>
      </c>
      <c r="O173" s="14"/>
      <c r="P173" s="1">
        <f>SUM(OSRRefP22_7x_0)</f>
        <v>1483.48</v>
      </c>
      <c r="Q173" s="1"/>
      <c r="R173" s="5">
        <f t="shared" ref="R173:R181" si="61">IF(P$12=0,0,P173/P$12)</f>
        <v>4.1107876730615752E-4</v>
      </c>
      <c r="S173" s="1"/>
      <c r="T173" s="1">
        <f>SUM(OSRRefT22_7x_0)</f>
        <v>0</v>
      </c>
      <c r="U173" s="1"/>
      <c r="V173" s="5">
        <f t="shared" ref="V173:V181" si="62">IF(T$12=0,0,T173/T$12)</f>
        <v>0</v>
      </c>
      <c r="W173" s="1"/>
      <c r="X173" s="1">
        <f t="shared" ref="X173:X181" si="63">+P173-T173</f>
        <v>1483.48</v>
      </c>
      <c r="Y173" s="1"/>
      <c r="Z173" s="5">
        <f t="shared" ref="Z173:Z181" si="64">IF(T173=0,0,X173/T173)</f>
        <v>0</v>
      </c>
    </row>
    <row r="174" spans="1:26" s="24" customFormat="1" hidden="1" outlineLevel="2" x14ac:dyDescent="0.25">
      <c r="A174" s="29"/>
      <c r="B174" s="11" t="str">
        <f>CONCATENATE("          ", "6399", " - ", "DONATION-ON CAMPUS")</f>
        <v xml:space="preserve">          6399 - DONATION-ON CAMPUS</v>
      </c>
      <c r="C174" s="11"/>
      <c r="D174" s="6">
        <v>1483.48</v>
      </c>
      <c r="E174" s="2"/>
      <c r="F174" s="7">
        <f t="shared" si="57"/>
        <v>2.1897560575912275E-3</v>
      </c>
      <c r="G174" s="2"/>
      <c r="H174" s="6"/>
      <c r="I174" s="2"/>
      <c r="J174" s="7">
        <f t="shared" si="58"/>
        <v>0</v>
      </c>
      <c r="K174" s="2"/>
      <c r="L174" s="6">
        <f t="shared" si="59"/>
        <v>1483.48</v>
      </c>
      <c r="M174" s="2"/>
      <c r="N174" s="7">
        <f t="shared" si="60"/>
        <v>0</v>
      </c>
      <c r="O174" s="11"/>
      <c r="P174" s="6">
        <v>1483.48</v>
      </c>
      <c r="Q174" s="2"/>
      <c r="R174" s="7">
        <f t="shared" si="61"/>
        <v>4.1107876730615752E-4</v>
      </c>
      <c r="S174" s="2"/>
      <c r="T174" s="6"/>
      <c r="U174" s="2"/>
      <c r="V174" s="7">
        <f t="shared" si="62"/>
        <v>0</v>
      </c>
      <c r="W174" s="2"/>
      <c r="X174" s="6">
        <f t="shared" si="63"/>
        <v>1483.48</v>
      </c>
      <c r="Y174" s="2"/>
      <c r="Z174" s="7">
        <f t="shared" si="64"/>
        <v>0</v>
      </c>
    </row>
    <row r="175" spans="1:26" s="28" customFormat="1" outlineLevel="1" collapsed="1" x14ac:dyDescent="0.25">
      <c r="A175" s="27"/>
      <c r="B175" s="14" t="str">
        <f>CONCATENATE("     ","Employees' Appreciation                           ")</f>
        <v xml:space="preserve">     Employees' Appreciation                           </v>
      </c>
      <c r="C175" s="14"/>
      <c r="D175" s="1">
        <f>SUM(OSRRefD22_8x_0)</f>
        <v>0</v>
      </c>
      <c r="E175" s="1"/>
      <c r="F175" s="5">
        <f t="shared" si="57"/>
        <v>0</v>
      </c>
      <c r="G175" s="1"/>
      <c r="H175" s="1">
        <f>SUM(OSRRefH22_8x_0)</f>
        <v>0</v>
      </c>
      <c r="I175" s="1"/>
      <c r="J175" s="5">
        <f t="shared" si="58"/>
        <v>0</v>
      </c>
      <c r="K175" s="1"/>
      <c r="L175" s="1">
        <f t="shared" si="59"/>
        <v>0</v>
      </c>
      <c r="M175" s="1"/>
      <c r="N175" s="5">
        <f t="shared" si="60"/>
        <v>0</v>
      </c>
      <c r="O175" s="14"/>
      <c r="P175" s="1">
        <f>SUM(OSRRefP22_8x_0)</f>
        <v>1384.63</v>
      </c>
      <c r="Q175" s="1"/>
      <c r="R175" s="5">
        <f t="shared" si="61"/>
        <v>3.8368700189764942E-4</v>
      </c>
      <c r="S175" s="1"/>
      <c r="T175" s="1">
        <f>SUM(OSRRefT22_8x_0)</f>
        <v>107.7</v>
      </c>
      <c r="U175" s="1"/>
      <c r="V175" s="5">
        <f t="shared" si="62"/>
        <v>3.085843357221762E-5</v>
      </c>
      <c r="W175" s="1"/>
      <c r="X175" s="1">
        <f t="shared" si="63"/>
        <v>1276.93</v>
      </c>
      <c r="Y175" s="1"/>
      <c r="Z175" s="5">
        <f t="shared" si="64"/>
        <v>11.856360259981431</v>
      </c>
    </row>
    <row r="176" spans="1:26" s="24" customFormat="1" hidden="1" outlineLevel="2" x14ac:dyDescent="0.25">
      <c r="A176" s="29"/>
      <c r="B176" s="11" t="str">
        <f>CONCATENATE("          ", "6277", " - ", "EMPLOYEE APPRECIATION")</f>
        <v xml:space="preserve">          6277 - EMPLOYEE APPRECIATION</v>
      </c>
      <c r="C176" s="11"/>
      <c r="D176" s="6"/>
      <c r="E176" s="2"/>
      <c r="F176" s="7">
        <f t="shared" si="57"/>
        <v>0</v>
      </c>
      <c r="G176" s="2"/>
      <c r="H176" s="6"/>
      <c r="I176" s="2"/>
      <c r="J176" s="7">
        <f t="shared" si="58"/>
        <v>0</v>
      </c>
      <c r="K176" s="2"/>
      <c r="L176" s="6">
        <f t="shared" si="59"/>
        <v>0</v>
      </c>
      <c r="M176" s="2"/>
      <c r="N176" s="7">
        <f t="shared" si="60"/>
        <v>0</v>
      </c>
      <c r="O176" s="11"/>
      <c r="P176" s="6">
        <v>1384.63</v>
      </c>
      <c r="Q176" s="2"/>
      <c r="R176" s="7">
        <f t="shared" si="61"/>
        <v>3.8368700189764942E-4</v>
      </c>
      <c r="S176" s="2"/>
      <c r="T176" s="6">
        <v>107.7</v>
      </c>
      <c r="U176" s="2"/>
      <c r="V176" s="7">
        <f t="shared" si="62"/>
        <v>3.085843357221762E-5</v>
      </c>
      <c r="W176" s="2"/>
      <c r="X176" s="6">
        <f t="shared" si="63"/>
        <v>1276.93</v>
      </c>
      <c r="Y176" s="2"/>
      <c r="Z176" s="7">
        <f t="shared" si="64"/>
        <v>11.856360259981431</v>
      </c>
    </row>
    <row r="177" spans="1:26" s="28" customFormat="1" outlineLevel="1" collapsed="1" x14ac:dyDescent="0.25">
      <c r="A177" s="27"/>
      <c r="B177" s="14" t="str">
        <f>CONCATENATE("     ","Equipment Rental                                  ")</f>
        <v xml:space="preserve">     Equipment Rental                                  </v>
      </c>
      <c r="C177" s="14"/>
      <c r="D177" s="1">
        <f>SUM(OSRRefD22_9x_0)</f>
        <v>1531.35</v>
      </c>
      <c r="E177" s="1"/>
      <c r="F177" s="5">
        <f t="shared" si="57"/>
        <v>2.2604166815813668E-3</v>
      </c>
      <c r="G177" s="1"/>
      <c r="H177" s="1">
        <f>SUM(OSRRefH22_9x_0)</f>
        <v>1479.42</v>
      </c>
      <c r="I177" s="1"/>
      <c r="J177" s="5">
        <f t="shared" si="58"/>
        <v>4.4434255266089396E-3</v>
      </c>
      <c r="K177" s="1"/>
      <c r="L177" s="1">
        <f t="shared" si="59"/>
        <v>51.929999999999836</v>
      </c>
      <c r="M177" s="1"/>
      <c r="N177" s="5">
        <f t="shared" si="60"/>
        <v>3.5101593867867022E-2</v>
      </c>
      <c r="O177" s="14"/>
      <c r="P177" s="1">
        <f>SUM(OSRRefP22_9x_0)</f>
        <v>6611.4</v>
      </c>
      <c r="Q177" s="1"/>
      <c r="R177" s="5">
        <f t="shared" si="61"/>
        <v>1.8320477270795223E-3</v>
      </c>
      <c r="S177" s="1"/>
      <c r="T177" s="1">
        <f>SUM(OSRRefT22_9x_0)</f>
        <v>5967.79</v>
      </c>
      <c r="U177" s="1"/>
      <c r="V177" s="5">
        <f t="shared" si="62"/>
        <v>1.7099039116800796E-3</v>
      </c>
      <c r="W177" s="1"/>
      <c r="X177" s="1">
        <f t="shared" si="63"/>
        <v>643.60999999999967</v>
      </c>
      <c r="Y177" s="1"/>
      <c r="Z177" s="5">
        <f t="shared" si="64"/>
        <v>0.10784729355423024</v>
      </c>
    </row>
    <row r="178" spans="1:26" s="24" customFormat="1" hidden="1" outlineLevel="2" x14ac:dyDescent="0.25">
      <c r="A178" s="29"/>
      <c r="B178" s="11" t="str">
        <f>CONCATENATE("          ", "6351", " - ", "EQUIPMENT RENTAL")</f>
        <v xml:space="preserve">          6351 - EQUIPMENT RENTAL</v>
      </c>
      <c r="C178" s="11"/>
      <c r="D178" s="6">
        <v>1531.35</v>
      </c>
      <c r="E178" s="2"/>
      <c r="F178" s="7">
        <f t="shared" si="57"/>
        <v>2.2604166815813668E-3</v>
      </c>
      <c r="G178" s="2"/>
      <c r="H178" s="6">
        <v>1479.42</v>
      </c>
      <c r="I178" s="2"/>
      <c r="J178" s="7">
        <f t="shared" si="58"/>
        <v>4.4434255266089396E-3</v>
      </c>
      <c r="K178" s="2"/>
      <c r="L178" s="6">
        <f t="shared" si="59"/>
        <v>51.929999999999836</v>
      </c>
      <c r="M178" s="2"/>
      <c r="N178" s="7">
        <f t="shared" si="60"/>
        <v>3.5101593867867022E-2</v>
      </c>
      <c r="O178" s="11"/>
      <c r="P178" s="6">
        <v>6611.4</v>
      </c>
      <c r="Q178" s="2"/>
      <c r="R178" s="7">
        <f t="shared" si="61"/>
        <v>1.8320477270795223E-3</v>
      </c>
      <c r="S178" s="2"/>
      <c r="T178" s="6">
        <v>5967.79</v>
      </c>
      <c r="U178" s="2"/>
      <c r="V178" s="7">
        <f t="shared" si="62"/>
        <v>1.7099039116800796E-3</v>
      </c>
      <c r="W178" s="2"/>
      <c r="X178" s="6">
        <f t="shared" si="63"/>
        <v>643.60999999999967</v>
      </c>
      <c r="Y178" s="2"/>
      <c r="Z178" s="7">
        <f t="shared" si="64"/>
        <v>0.10784729355423024</v>
      </c>
    </row>
    <row r="179" spans="1:26" s="28" customFormat="1" outlineLevel="1" collapsed="1" x14ac:dyDescent="0.25">
      <c r="A179" s="27"/>
      <c r="B179" s="14" t="str">
        <f>CONCATENATE("     ","Freight out/Postage                               ")</f>
        <v xml:space="preserve">     Freight out/Postage                               </v>
      </c>
      <c r="C179" s="14"/>
      <c r="D179" s="1">
        <f>SUM(OSRRefD22_10x_0)</f>
        <v>-23514.07</v>
      </c>
      <c r="E179" s="1"/>
      <c r="F179" s="5">
        <f t="shared" si="57"/>
        <v>-3.4708979710629168E-2</v>
      </c>
      <c r="G179" s="1"/>
      <c r="H179" s="1">
        <f>SUM(OSRRefH22_10x_0)</f>
        <v>49181.369999999995</v>
      </c>
      <c r="I179" s="1"/>
      <c r="J179" s="5">
        <f t="shared" si="58"/>
        <v>0.14771583113084796</v>
      </c>
      <c r="K179" s="1"/>
      <c r="L179" s="1">
        <f t="shared" si="59"/>
        <v>-72695.44</v>
      </c>
      <c r="M179" s="1"/>
      <c r="N179" s="5">
        <f t="shared" si="60"/>
        <v>-1.4781092921974319</v>
      </c>
      <c r="O179" s="14"/>
      <c r="P179" s="1">
        <f>SUM(OSRRefP22_10x_0)</f>
        <v>-35527.499999999993</v>
      </c>
      <c r="Q179" s="1"/>
      <c r="R179" s="5">
        <f t="shared" si="61"/>
        <v>-9.8448249423446956E-3</v>
      </c>
      <c r="S179" s="1"/>
      <c r="T179" s="1">
        <f>SUM(OSRRefT22_10x_0)</f>
        <v>-31292.880000000005</v>
      </c>
      <c r="U179" s="1"/>
      <c r="V179" s="5">
        <f t="shared" si="62"/>
        <v>-8.9661026811827058E-3</v>
      </c>
      <c r="W179" s="1"/>
      <c r="X179" s="1">
        <f t="shared" si="63"/>
        <v>-4234.6199999999881</v>
      </c>
      <c r="Y179" s="1"/>
      <c r="Z179" s="5">
        <f t="shared" si="64"/>
        <v>0.13532215634994246</v>
      </c>
    </row>
    <row r="180" spans="1:26" s="24" customFormat="1" hidden="1" outlineLevel="2" x14ac:dyDescent="0.25">
      <c r="A180" s="29"/>
      <c r="B180" s="11" t="str">
        <f>CONCATENATE("          ", "6305", " - ", "FREIGHT OUT")</f>
        <v xml:space="preserve">          6305 - FREIGHT OUT</v>
      </c>
      <c r="C180" s="11"/>
      <c r="D180" s="6">
        <v>26190.5</v>
      </c>
      <c r="E180" s="2"/>
      <c r="F180" s="7">
        <f t="shared" si="57"/>
        <v>3.8659642210439674E-2</v>
      </c>
      <c r="G180" s="2"/>
      <c r="H180" s="6">
        <v>60867.89</v>
      </c>
      <c r="I180" s="2"/>
      <c r="J180" s="7">
        <f t="shared" si="58"/>
        <v>0.18281619565561166</v>
      </c>
      <c r="K180" s="2"/>
      <c r="L180" s="6">
        <f t="shared" si="59"/>
        <v>-34677.39</v>
      </c>
      <c r="M180" s="2"/>
      <c r="N180" s="7">
        <f t="shared" si="60"/>
        <v>-0.56971565796021517</v>
      </c>
      <c r="O180" s="11"/>
      <c r="P180" s="6">
        <v>54886.68</v>
      </c>
      <c r="Q180" s="2"/>
      <c r="R180" s="7">
        <f t="shared" si="61"/>
        <v>1.520933801327118E-2</v>
      </c>
      <c r="S180" s="2"/>
      <c r="T180" s="6">
        <v>86790.61</v>
      </c>
      <c r="U180" s="2"/>
      <c r="V180" s="7">
        <f t="shared" si="62"/>
        <v>2.4867430579175915E-2</v>
      </c>
      <c r="W180" s="2"/>
      <c r="X180" s="6">
        <f t="shared" si="63"/>
        <v>-31903.93</v>
      </c>
      <c r="Y180" s="2"/>
      <c r="Z180" s="7">
        <f t="shared" si="64"/>
        <v>-0.36759656372964772</v>
      </c>
    </row>
    <row r="181" spans="1:26" s="24" customFormat="1" hidden="1" outlineLevel="2" x14ac:dyDescent="0.25">
      <c r="A181" s="29"/>
      <c r="B181" s="11" t="str">
        <f>CONCATENATE("          ", "6307", " - ", "POSTAGE")</f>
        <v xml:space="preserve">          6307 - POSTAGE</v>
      </c>
      <c r="C181" s="11"/>
      <c r="D181" s="6">
        <v>-49704.57</v>
      </c>
      <c r="E181" s="2"/>
      <c r="F181" s="7">
        <f t="shared" si="57"/>
        <v>-7.3368621921068841E-2</v>
      </c>
      <c r="G181" s="2"/>
      <c r="H181" s="6">
        <v>-11686.52</v>
      </c>
      <c r="I181" s="2"/>
      <c r="J181" s="7">
        <f t="shared" si="58"/>
        <v>-3.5100364524763693E-2</v>
      </c>
      <c r="K181" s="2"/>
      <c r="L181" s="6">
        <f t="shared" si="59"/>
        <v>-38018.050000000003</v>
      </c>
      <c r="M181" s="2"/>
      <c r="N181" s="7">
        <f t="shared" si="60"/>
        <v>3.2531540612603238</v>
      </c>
      <c r="O181" s="11"/>
      <c r="P181" s="6">
        <v>-90414.18</v>
      </c>
      <c r="Q181" s="2"/>
      <c r="R181" s="7">
        <f t="shared" si="61"/>
        <v>-2.5054162955615876E-2</v>
      </c>
      <c r="S181" s="2"/>
      <c r="T181" s="6">
        <v>-118083.49</v>
      </c>
      <c r="U181" s="2"/>
      <c r="V181" s="7">
        <f t="shared" si="62"/>
        <v>-3.3833533260358623E-2</v>
      </c>
      <c r="W181" s="2"/>
      <c r="X181" s="6">
        <f t="shared" si="63"/>
        <v>27669.310000000012</v>
      </c>
      <c r="Y181" s="2"/>
      <c r="Z181" s="7">
        <f t="shared" si="64"/>
        <v>-0.23431988671744045</v>
      </c>
    </row>
    <row r="182" spans="1:26" s="28" customFormat="1" outlineLevel="1" collapsed="1" x14ac:dyDescent="0.25">
      <c r="A182" s="27"/>
      <c r="B182" s="14" t="str">
        <f>CONCATENATE("     ","General                                           ")</f>
        <v xml:space="preserve">     General                                           </v>
      </c>
      <c r="C182" s="14"/>
      <c r="D182" s="1">
        <f>SUM(OSRRefD22_11x_0)</f>
        <v>327.5</v>
      </c>
      <c r="E182" s="1"/>
      <c r="F182" s="5">
        <f t="shared" ref="F182:F188" si="65">IF(D$12=0,0,D182/D$12)</f>
        <v>4.8342081380343992E-4</v>
      </c>
      <c r="G182" s="1"/>
      <c r="H182" s="1">
        <f>SUM(OSRRefH22_11x_0)</f>
        <v>-40</v>
      </c>
      <c r="I182" s="1"/>
      <c r="J182" s="5">
        <f t="shared" ref="J182:J188" si="66">IF(H$12=0,0,H182/H$12)</f>
        <v>-1.201396635602855E-4</v>
      </c>
      <c r="K182" s="1"/>
      <c r="L182" s="1">
        <f t="shared" ref="L182:L188" si="67">+D182-H182</f>
        <v>367.5</v>
      </c>
      <c r="M182" s="1"/>
      <c r="N182" s="5">
        <f t="shared" ref="N182:N188" si="68">IF(H182=0,0,L182/H182)</f>
        <v>-9.1875</v>
      </c>
      <c r="O182" s="14"/>
      <c r="P182" s="1">
        <f>SUM(OSRRefP22_11x_0)</f>
        <v>2194.1</v>
      </c>
      <c r="Q182" s="1"/>
      <c r="R182" s="5">
        <f t="shared" ref="R182:R188" si="69">IF(P$12=0,0,P182/P$12)</f>
        <v>6.0799466345784253E-4</v>
      </c>
      <c r="S182" s="1"/>
      <c r="T182" s="1">
        <f>SUM(OSRRefT22_11x_0)</f>
        <v>-3276.98</v>
      </c>
      <c r="U182" s="1"/>
      <c r="V182" s="5">
        <f t="shared" ref="V182:V188" si="70">IF(T$12=0,0,T182/T$12)</f>
        <v>-9.3892729477702591E-4</v>
      </c>
      <c r="W182" s="1"/>
      <c r="X182" s="1">
        <f t="shared" ref="X182:X188" si="71">+P182-T182</f>
        <v>5471.08</v>
      </c>
      <c r="Y182" s="1"/>
      <c r="Z182" s="5">
        <f t="shared" ref="Z182:Z188" si="72">IF(T182=0,0,X182/T182)</f>
        <v>-1.6695494021934829</v>
      </c>
    </row>
    <row r="183" spans="1:26" s="24" customFormat="1" hidden="1" outlineLevel="2" x14ac:dyDescent="0.25">
      <c r="A183" s="29"/>
      <c r="B183" s="11" t="str">
        <f>CONCATENATE("          ", "6279", " - ", "GENERAL EXPENSE")</f>
        <v xml:space="preserve">          6279 - GENERAL EXPENSE</v>
      </c>
      <c r="C183" s="11"/>
      <c r="D183" s="6">
        <v>327.5</v>
      </c>
      <c r="E183" s="2"/>
      <c r="F183" s="7">
        <f t="shared" si="65"/>
        <v>4.8342081380343992E-4</v>
      </c>
      <c r="G183" s="2"/>
      <c r="H183" s="6">
        <v>-40</v>
      </c>
      <c r="I183" s="2"/>
      <c r="J183" s="7">
        <f t="shared" si="66"/>
        <v>-1.201396635602855E-4</v>
      </c>
      <c r="K183" s="2"/>
      <c r="L183" s="6">
        <f t="shared" si="67"/>
        <v>367.5</v>
      </c>
      <c r="M183" s="2"/>
      <c r="N183" s="7">
        <f t="shared" si="68"/>
        <v>-9.1875</v>
      </c>
      <c r="O183" s="11"/>
      <c r="P183" s="6">
        <v>2194.1</v>
      </c>
      <c r="Q183" s="2"/>
      <c r="R183" s="7">
        <f t="shared" si="69"/>
        <v>6.0799466345784253E-4</v>
      </c>
      <c r="S183" s="2"/>
      <c r="T183" s="6">
        <v>-3276.98</v>
      </c>
      <c r="U183" s="2"/>
      <c r="V183" s="7">
        <f t="shared" si="70"/>
        <v>-9.3892729477702591E-4</v>
      </c>
      <c r="W183" s="2"/>
      <c r="X183" s="6">
        <f t="shared" si="71"/>
        <v>5471.08</v>
      </c>
      <c r="Y183" s="2"/>
      <c r="Z183" s="7">
        <f t="shared" si="72"/>
        <v>-1.6695494021934829</v>
      </c>
    </row>
    <row r="184" spans="1:26" s="28" customFormat="1" outlineLevel="1" collapsed="1" x14ac:dyDescent="0.25">
      <c r="A184" s="27"/>
      <c r="B184" s="14" t="str">
        <f>CONCATENATE("     ","Insurance                                         ")</f>
        <v xml:space="preserve">     Insurance                                         </v>
      </c>
      <c r="C184" s="14"/>
      <c r="D184" s="1">
        <f>SUM(OSRRefD22_12x_0)</f>
        <v>5494.57</v>
      </c>
      <c r="E184" s="1"/>
      <c r="F184" s="5">
        <f t="shared" si="65"/>
        <v>8.1105022928243259E-3</v>
      </c>
      <c r="G184" s="1"/>
      <c r="H184" s="1">
        <f>SUM(OSRRefH22_12x_0)</f>
        <v>4044.74</v>
      </c>
      <c r="I184" s="1"/>
      <c r="J184" s="5">
        <f t="shared" si="66"/>
        <v>1.2148342569720728E-2</v>
      </c>
      <c r="K184" s="1"/>
      <c r="L184" s="1">
        <f t="shared" si="67"/>
        <v>1449.83</v>
      </c>
      <c r="M184" s="1"/>
      <c r="N184" s="5">
        <f t="shared" si="68"/>
        <v>0.35844825625380122</v>
      </c>
      <c r="O184" s="14"/>
      <c r="P184" s="1">
        <f>SUM(OSRRefP22_12x_0)</f>
        <v>21978.28</v>
      </c>
      <c r="Q184" s="1"/>
      <c r="R184" s="5">
        <f t="shared" si="69"/>
        <v>6.0902770849014312E-3</v>
      </c>
      <c r="S184" s="1"/>
      <c r="T184" s="1">
        <f>SUM(OSRRefT22_12x_0)</f>
        <v>16178.96</v>
      </c>
      <c r="U184" s="1"/>
      <c r="V184" s="5">
        <f t="shared" si="70"/>
        <v>4.6356301061055332E-3</v>
      </c>
      <c r="W184" s="1"/>
      <c r="X184" s="1">
        <f t="shared" si="71"/>
        <v>5799.32</v>
      </c>
      <c r="Y184" s="1"/>
      <c r="Z184" s="5">
        <f t="shared" si="72"/>
        <v>0.35844825625380122</v>
      </c>
    </row>
    <row r="185" spans="1:26" s="24" customFormat="1" hidden="1" outlineLevel="2" x14ac:dyDescent="0.25">
      <c r="A185" s="29"/>
      <c r="B185" s="11" t="str">
        <f>CONCATENATE("          ", "6314", " - ", "LIABILITY INSURANCE")</f>
        <v xml:space="preserve">          6314 - LIABILITY INSURANCE</v>
      </c>
      <c r="C185" s="11"/>
      <c r="D185" s="6">
        <v>5494.57</v>
      </c>
      <c r="E185" s="2"/>
      <c r="F185" s="7">
        <f t="shared" si="65"/>
        <v>8.1105022928243259E-3</v>
      </c>
      <c r="G185" s="2"/>
      <c r="H185" s="6">
        <v>4044.74</v>
      </c>
      <c r="I185" s="2"/>
      <c r="J185" s="7">
        <f t="shared" si="66"/>
        <v>1.2148342569720728E-2</v>
      </c>
      <c r="K185" s="2"/>
      <c r="L185" s="6">
        <f t="shared" si="67"/>
        <v>1449.83</v>
      </c>
      <c r="M185" s="2"/>
      <c r="N185" s="7">
        <f t="shared" si="68"/>
        <v>0.35844825625380122</v>
      </c>
      <c r="O185" s="11"/>
      <c r="P185" s="6">
        <v>21978.28</v>
      </c>
      <c r="Q185" s="2"/>
      <c r="R185" s="7">
        <f t="shared" si="69"/>
        <v>6.0902770849014312E-3</v>
      </c>
      <c r="S185" s="2"/>
      <c r="T185" s="6">
        <v>16178.96</v>
      </c>
      <c r="U185" s="2"/>
      <c r="V185" s="7">
        <f t="shared" si="70"/>
        <v>4.6356301061055332E-3</v>
      </c>
      <c r="W185" s="2"/>
      <c r="X185" s="6">
        <f t="shared" si="71"/>
        <v>5799.32</v>
      </c>
      <c r="Y185" s="2"/>
      <c r="Z185" s="7">
        <f t="shared" si="72"/>
        <v>0.35844825625380122</v>
      </c>
    </row>
    <row r="186" spans="1:26" s="28" customFormat="1" outlineLevel="1" collapsed="1" x14ac:dyDescent="0.25">
      <c r="A186" s="27"/>
      <c r="B186" s="14" t="str">
        <f>CONCATENATE("     ","Inventory Adjustment                              ")</f>
        <v xml:space="preserve">     Inventory Adjustment                              </v>
      </c>
      <c r="C186" s="14"/>
      <c r="D186" s="1">
        <f>SUM(OSRRefD22_13x_0)</f>
        <v>5690</v>
      </c>
      <c r="E186" s="1"/>
      <c r="F186" s="5">
        <f t="shared" si="65"/>
        <v>8.3989753604322842E-3</v>
      </c>
      <c r="G186" s="1"/>
      <c r="H186" s="1">
        <f>SUM(OSRRefH22_13x_0)</f>
        <v>3350</v>
      </c>
      <c r="I186" s="1"/>
      <c r="J186" s="5">
        <f t="shared" si="66"/>
        <v>1.0061696823173911E-2</v>
      </c>
      <c r="K186" s="1"/>
      <c r="L186" s="1">
        <f t="shared" si="67"/>
        <v>2340</v>
      </c>
      <c r="M186" s="1"/>
      <c r="N186" s="5">
        <f t="shared" si="68"/>
        <v>0.69850746268656716</v>
      </c>
      <c r="O186" s="14"/>
      <c r="P186" s="1">
        <f>SUM(OSRRefP22_13x_0)</f>
        <v>25070</v>
      </c>
      <c r="Q186" s="1"/>
      <c r="R186" s="5">
        <f t="shared" si="69"/>
        <v>6.9470061587384863E-3</v>
      </c>
      <c r="S186" s="1"/>
      <c r="T186" s="1">
        <f>SUM(OSRRefT22_13x_0)</f>
        <v>13400</v>
      </c>
      <c r="U186" s="1"/>
      <c r="V186" s="5">
        <f t="shared" si="70"/>
        <v>3.839396563302842E-3</v>
      </c>
      <c r="W186" s="1"/>
      <c r="X186" s="1">
        <f t="shared" si="71"/>
        <v>11670</v>
      </c>
      <c r="Y186" s="1"/>
      <c r="Z186" s="5">
        <f t="shared" si="72"/>
        <v>0.87089552238805967</v>
      </c>
    </row>
    <row r="187" spans="1:26" s="24" customFormat="1" hidden="1" outlineLevel="2" x14ac:dyDescent="0.25">
      <c r="A187" s="29"/>
      <c r="B187" s="11" t="str">
        <f>CONCATENATE("          ", "6408", " - ", "INVENTORY ADJUSTMENT")</f>
        <v xml:space="preserve">          6408 - INVENTORY ADJUSTMENT</v>
      </c>
      <c r="C187" s="11"/>
      <c r="D187" s="6">
        <v>5690</v>
      </c>
      <c r="E187" s="2"/>
      <c r="F187" s="7">
        <f t="shared" si="65"/>
        <v>8.3989753604322842E-3</v>
      </c>
      <c r="G187" s="2"/>
      <c r="H187" s="6">
        <v>3350</v>
      </c>
      <c r="I187" s="2"/>
      <c r="J187" s="7">
        <f t="shared" si="66"/>
        <v>1.0061696823173911E-2</v>
      </c>
      <c r="K187" s="2"/>
      <c r="L187" s="6">
        <f t="shared" si="67"/>
        <v>2340</v>
      </c>
      <c r="M187" s="2"/>
      <c r="N187" s="7">
        <f t="shared" si="68"/>
        <v>0.69850746268656716</v>
      </c>
      <c r="O187" s="11"/>
      <c r="P187" s="6">
        <v>25070</v>
      </c>
      <c r="Q187" s="2"/>
      <c r="R187" s="7">
        <f t="shared" si="69"/>
        <v>6.9470061587384863E-3</v>
      </c>
      <c r="S187" s="2"/>
      <c r="T187" s="6">
        <v>13400</v>
      </c>
      <c r="U187" s="2"/>
      <c r="V187" s="7">
        <f t="shared" si="70"/>
        <v>3.839396563302842E-3</v>
      </c>
      <c r="W187" s="2"/>
      <c r="X187" s="6">
        <f t="shared" si="71"/>
        <v>11670</v>
      </c>
      <c r="Y187" s="2"/>
      <c r="Z187" s="7">
        <f t="shared" si="72"/>
        <v>0.87089552238805967</v>
      </c>
    </row>
    <row r="188" spans="1:26" s="24" customFormat="1" hidden="1" outlineLevel="2" x14ac:dyDescent="0.25">
      <c r="A188" s="29"/>
      <c r="B188" s="11" t="str">
        <f>CONCATENATE("          ", "7741", " - ", "INV. SHRINKAGE-LOGO GIFTS")</f>
        <v xml:space="preserve">          7741 - INV. SHRINKAGE-LOGO GIFTS</v>
      </c>
      <c r="C188" s="11"/>
      <c r="D188" s="6"/>
      <c r="E188" s="2"/>
      <c r="F188" s="7">
        <f t="shared" si="65"/>
        <v>0</v>
      </c>
      <c r="G188" s="2"/>
      <c r="H188" s="6"/>
      <c r="I188" s="2"/>
      <c r="J188" s="7">
        <f t="shared" si="66"/>
        <v>0</v>
      </c>
      <c r="K188" s="2"/>
      <c r="L188" s="6">
        <f t="shared" si="67"/>
        <v>0</v>
      </c>
      <c r="M188" s="2"/>
      <c r="N188" s="7">
        <f t="shared" si="68"/>
        <v>0</v>
      </c>
      <c r="O188" s="11"/>
      <c r="P188" s="6"/>
      <c r="Q188" s="2"/>
      <c r="R188" s="7">
        <f t="shared" si="69"/>
        <v>0</v>
      </c>
      <c r="S188" s="2"/>
      <c r="T188" s="6">
        <v>0</v>
      </c>
      <c r="U188" s="2"/>
      <c r="V188" s="7">
        <f t="shared" si="70"/>
        <v>0</v>
      </c>
      <c r="W188" s="2"/>
      <c r="X188" s="6">
        <f t="shared" si="71"/>
        <v>0</v>
      </c>
      <c r="Y188" s="2"/>
      <c r="Z188" s="7">
        <f t="shared" si="72"/>
        <v>0</v>
      </c>
    </row>
    <row r="189" spans="1:26" s="28" customFormat="1" outlineLevel="1" collapsed="1" x14ac:dyDescent="0.25">
      <c r="A189" s="27"/>
      <c r="B189" s="14" t="str">
        <f>CONCATENATE("     ","Professional Services                             ")</f>
        <v xml:space="preserve">     Professional Services                             </v>
      </c>
      <c r="C189" s="14"/>
      <c r="D189" s="1">
        <f>SUM(OSRRefD22_14x_0)</f>
        <v>8186.53</v>
      </c>
      <c r="E189" s="1"/>
      <c r="F189" s="5">
        <f t="shared" ref="F189:F197" si="73">IF(D$12=0,0,D189/D$12)</f>
        <v>1.2084088533820687E-2</v>
      </c>
      <c r="G189" s="1"/>
      <c r="H189" s="1">
        <f>SUM(OSRRefH22_14x_0)</f>
        <v>0</v>
      </c>
      <c r="I189" s="1"/>
      <c r="J189" s="5">
        <f t="shared" ref="J189:J197" si="74">IF(H$12=0,0,H189/H$12)</f>
        <v>0</v>
      </c>
      <c r="K189" s="1"/>
      <c r="L189" s="1">
        <f t="shared" ref="L189:L197" si="75">+D189-H189</f>
        <v>8186.53</v>
      </c>
      <c r="M189" s="1"/>
      <c r="N189" s="5">
        <f t="shared" ref="N189:N197" si="76">IF(H189=0,0,L189/H189)</f>
        <v>0</v>
      </c>
      <c r="O189" s="14"/>
      <c r="P189" s="1">
        <f>SUM(OSRRefP22_14x_0)</f>
        <v>8186.53</v>
      </c>
      <c r="Q189" s="1"/>
      <c r="R189" s="5">
        <f t="shared" ref="R189:R197" si="77">IF(P$12=0,0,P189/P$12)</f>
        <v>2.2685231084442511E-3</v>
      </c>
      <c r="S189" s="1"/>
      <c r="T189" s="1">
        <f>SUM(OSRRefT22_14x_0)</f>
        <v>0</v>
      </c>
      <c r="U189" s="1"/>
      <c r="V189" s="5">
        <f t="shared" ref="V189:V197" si="78">IF(T$12=0,0,T189/T$12)</f>
        <v>0</v>
      </c>
      <c r="W189" s="1"/>
      <c r="X189" s="1">
        <f t="shared" ref="X189:X197" si="79">+P189-T189</f>
        <v>8186.53</v>
      </c>
      <c r="Y189" s="1"/>
      <c r="Z189" s="5">
        <f t="shared" ref="Z189:Z197" si="80">IF(T189=0,0,X189/T189)</f>
        <v>0</v>
      </c>
    </row>
    <row r="190" spans="1:26" s="24" customFormat="1" hidden="1" outlineLevel="2" x14ac:dyDescent="0.25">
      <c r="A190" s="29"/>
      <c r="B190" s="11" t="str">
        <f>CONCATENATE("          ", "6336", " - ", "PROFESSIONAL SERVICES")</f>
        <v xml:space="preserve">          6336 - PROFESSIONAL SERVICES</v>
      </c>
      <c r="C190" s="11"/>
      <c r="D190" s="6">
        <v>8186.53</v>
      </c>
      <c r="E190" s="2"/>
      <c r="F190" s="7">
        <f t="shared" si="73"/>
        <v>1.2084088533820687E-2</v>
      </c>
      <c r="G190" s="2"/>
      <c r="H190" s="6"/>
      <c r="I190" s="2"/>
      <c r="J190" s="7">
        <f t="shared" si="74"/>
        <v>0</v>
      </c>
      <c r="K190" s="2"/>
      <c r="L190" s="6">
        <f t="shared" si="75"/>
        <v>8186.53</v>
      </c>
      <c r="M190" s="2"/>
      <c r="N190" s="7">
        <f t="shared" si="76"/>
        <v>0</v>
      </c>
      <c r="O190" s="11"/>
      <c r="P190" s="6">
        <v>8186.53</v>
      </c>
      <c r="Q190" s="2"/>
      <c r="R190" s="7">
        <f t="shared" si="77"/>
        <v>2.2685231084442511E-3</v>
      </c>
      <c r="S190" s="2"/>
      <c r="T190" s="6"/>
      <c r="U190" s="2"/>
      <c r="V190" s="7">
        <f t="shared" si="78"/>
        <v>0</v>
      </c>
      <c r="W190" s="2"/>
      <c r="X190" s="6">
        <f t="shared" si="79"/>
        <v>8186.53</v>
      </c>
      <c r="Y190" s="2"/>
      <c r="Z190" s="7">
        <f t="shared" si="80"/>
        <v>0</v>
      </c>
    </row>
    <row r="191" spans="1:26" s="28" customFormat="1" outlineLevel="1" collapsed="1" x14ac:dyDescent="0.25">
      <c r="A191" s="27"/>
      <c r="B191" s="14" t="str">
        <f>CONCATENATE("     ","Rent                                              ")</f>
        <v xml:space="preserve">     Rent                                              </v>
      </c>
      <c r="C191" s="14"/>
      <c r="D191" s="1">
        <f>SUM(OSRRefD22_15x_0)</f>
        <v>6100</v>
      </c>
      <c r="E191" s="1"/>
      <c r="F191" s="5">
        <f t="shared" si="73"/>
        <v>9.0041739364915534E-3</v>
      </c>
      <c r="G191" s="1"/>
      <c r="H191" s="1">
        <f>SUM(OSRRefH22_15x_0)</f>
        <v>6100</v>
      </c>
      <c r="I191" s="1"/>
      <c r="J191" s="5">
        <f t="shared" si="74"/>
        <v>1.8321298692943539E-2</v>
      </c>
      <c r="K191" s="1"/>
      <c r="L191" s="1">
        <f t="shared" si="75"/>
        <v>0</v>
      </c>
      <c r="M191" s="1"/>
      <c r="N191" s="5">
        <f t="shared" si="76"/>
        <v>0</v>
      </c>
      <c r="O191" s="14"/>
      <c r="P191" s="1">
        <f>SUM(OSRRefP22_15x_0)</f>
        <v>24400</v>
      </c>
      <c r="Q191" s="1"/>
      <c r="R191" s="5">
        <f t="shared" si="77"/>
        <v>6.7613462414526952E-3</v>
      </c>
      <c r="S191" s="1"/>
      <c r="T191" s="1">
        <f>SUM(OSRRefT22_15x_0)</f>
        <v>24400</v>
      </c>
      <c r="U191" s="1"/>
      <c r="V191" s="5">
        <f t="shared" si="78"/>
        <v>6.9911400107902496E-3</v>
      </c>
      <c r="W191" s="1"/>
      <c r="X191" s="1">
        <f t="shared" si="79"/>
        <v>0</v>
      </c>
      <c r="Y191" s="1"/>
      <c r="Z191" s="5">
        <f t="shared" si="80"/>
        <v>0</v>
      </c>
    </row>
    <row r="192" spans="1:26" s="24" customFormat="1" hidden="1" outlineLevel="2" x14ac:dyDescent="0.25">
      <c r="A192" s="29"/>
      <c r="B192" s="11" t="str">
        <f>CONCATENATE("          ", "6273", " - ", "RENT")</f>
        <v xml:space="preserve">          6273 - RENT</v>
      </c>
      <c r="C192" s="11"/>
      <c r="D192" s="6">
        <v>6100</v>
      </c>
      <c r="E192" s="2"/>
      <c r="F192" s="7">
        <f t="shared" si="73"/>
        <v>9.0041739364915534E-3</v>
      </c>
      <c r="G192" s="2"/>
      <c r="H192" s="6">
        <v>6100</v>
      </c>
      <c r="I192" s="2"/>
      <c r="J192" s="7">
        <f t="shared" si="74"/>
        <v>1.8321298692943539E-2</v>
      </c>
      <c r="K192" s="2"/>
      <c r="L192" s="6">
        <f t="shared" si="75"/>
        <v>0</v>
      </c>
      <c r="M192" s="2"/>
      <c r="N192" s="7">
        <f t="shared" si="76"/>
        <v>0</v>
      </c>
      <c r="O192" s="11"/>
      <c r="P192" s="6">
        <v>24400</v>
      </c>
      <c r="Q192" s="2"/>
      <c r="R192" s="7">
        <f t="shared" si="77"/>
        <v>6.7613462414526952E-3</v>
      </c>
      <c r="S192" s="2"/>
      <c r="T192" s="6">
        <v>24400</v>
      </c>
      <c r="U192" s="2"/>
      <c r="V192" s="7">
        <f t="shared" si="78"/>
        <v>6.9911400107902496E-3</v>
      </c>
      <c r="W192" s="2"/>
      <c r="X192" s="6">
        <f t="shared" si="79"/>
        <v>0</v>
      </c>
      <c r="Y192" s="2"/>
      <c r="Z192" s="7">
        <f t="shared" si="80"/>
        <v>0</v>
      </c>
    </row>
    <row r="193" spans="1:26" s="28" customFormat="1" outlineLevel="1" collapsed="1" x14ac:dyDescent="0.25">
      <c r="A193" s="27"/>
      <c r="B193" s="14" t="str">
        <f>CONCATENATE("     ","Repair and Maintenance                            ")</f>
        <v xml:space="preserve">     Repair and Maintenance                            </v>
      </c>
      <c r="C193" s="14"/>
      <c r="D193" s="1">
        <f>SUM(OSRRefD22_16x_0)</f>
        <v>12440.880000000001</v>
      </c>
      <c r="E193" s="1"/>
      <c r="F193" s="5">
        <f t="shared" si="73"/>
        <v>1.8363909416888365E-2</v>
      </c>
      <c r="G193" s="1"/>
      <c r="H193" s="1">
        <f>SUM(OSRRefH22_16x_0)</f>
        <v>11552.1</v>
      </c>
      <c r="I193" s="1"/>
      <c r="J193" s="5">
        <f t="shared" si="74"/>
        <v>3.4696635185369355E-2</v>
      </c>
      <c r="K193" s="1"/>
      <c r="L193" s="1">
        <f t="shared" si="75"/>
        <v>888.78000000000065</v>
      </c>
      <c r="M193" s="1"/>
      <c r="N193" s="5">
        <f t="shared" si="76"/>
        <v>7.6936660866855425E-2</v>
      </c>
      <c r="O193" s="14"/>
      <c r="P193" s="1">
        <f>SUM(OSRRefP22_16x_0)</f>
        <v>89457.44</v>
      </c>
      <c r="Q193" s="1"/>
      <c r="R193" s="5">
        <f t="shared" si="77"/>
        <v>2.4789046135818851E-2</v>
      </c>
      <c r="S193" s="1"/>
      <c r="T193" s="1">
        <f>SUM(OSRRefT22_16x_0)</f>
        <v>97944.37</v>
      </c>
      <c r="U193" s="1"/>
      <c r="V193" s="5">
        <f t="shared" si="78"/>
        <v>2.8063229669616566E-2</v>
      </c>
      <c r="W193" s="1"/>
      <c r="X193" s="1">
        <f t="shared" si="79"/>
        <v>-8486.929999999993</v>
      </c>
      <c r="Y193" s="1"/>
      <c r="Z193" s="5">
        <f t="shared" si="80"/>
        <v>-8.6650513960118317E-2</v>
      </c>
    </row>
    <row r="194" spans="1:26" s="24" customFormat="1" hidden="1" outlineLevel="2" x14ac:dyDescent="0.25">
      <c r="A194" s="29"/>
      <c r="B194" s="11" t="str">
        <f>CONCATENATE("          ", "6371", " - ", "COMPUTER SOFTWARE MAINTENANCE")</f>
        <v xml:space="preserve">          6371 - COMPUTER SOFTWARE MAINTENANCE</v>
      </c>
      <c r="C194" s="11"/>
      <c r="D194" s="6">
        <v>2887.5</v>
      </c>
      <c r="E194" s="2"/>
      <c r="F194" s="7">
        <f t="shared" si="73"/>
        <v>4.2622216789539929E-3</v>
      </c>
      <c r="G194" s="2"/>
      <c r="H194" s="6">
        <v>7.69</v>
      </c>
      <c r="I194" s="2"/>
      <c r="J194" s="7">
        <f t="shared" si="74"/>
        <v>2.3096850319464889E-5</v>
      </c>
      <c r="K194" s="2"/>
      <c r="L194" s="6">
        <f t="shared" si="75"/>
        <v>2879.81</v>
      </c>
      <c r="M194" s="2"/>
      <c r="N194" s="7">
        <f t="shared" si="76"/>
        <v>374.48764629388813</v>
      </c>
      <c r="O194" s="11"/>
      <c r="P194" s="6">
        <v>62511</v>
      </c>
      <c r="Q194" s="2"/>
      <c r="R194" s="7">
        <f t="shared" si="77"/>
        <v>1.7322070282764321E-2</v>
      </c>
      <c r="S194" s="2"/>
      <c r="T194" s="6">
        <v>58436.47</v>
      </c>
      <c r="U194" s="2"/>
      <c r="V194" s="7">
        <f t="shared" si="78"/>
        <v>1.6743341946981315E-2</v>
      </c>
      <c r="W194" s="2"/>
      <c r="X194" s="6">
        <f t="shared" si="79"/>
        <v>4074.5299999999988</v>
      </c>
      <c r="Y194" s="2"/>
      <c r="Z194" s="7">
        <f t="shared" si="80"/>
        <v>6.972580650405473E-2</v>
      </c>
    </row>
    <row r="195" spans="1:26" s="24" customFormat="1" hidden="1" outlineLevel="2" x14ac:dyDescent="0.25">
      <c r="A195" s="29"/>
      <c r="B195" s="11" t="str">
        <f>CONCATENATE("          ", "6372", " - ", "COMPUTER HARDWARE MAINTENANCE")</f>
        <v xml:space="preserve">          6372 - COMPUTER HARDWARE MAINTENANCE</v>
      </c>
      <c r="C195" s="11"/>
      <c r="D195" s="6"/>
      <c r="E195" s="2"/>
      <c r="F195" s="7">
        <f t="shared" si="73"/>
        <v>0</v>
      </c>
      <c r="G195" s="2"/>
      <c r="H195" s="6">
        <v>8.11</v>
      </c>
      <c r="I195" s="2"/>
      <c r="J195" s="7">
        <f t="shared" si="74"/>
        <v>2.4358316786847886E-5</v>
      </c>
      <c r="K195" s="2"/>
      <c r="L195" s="6">
        <f t="shared" si="75"/>
        <v>-8.11</v>
      </c>
      <c r="M195" s="2"/>
      <c r="N195" s="7">
        <f t="shared" si="76"/>
        <v>-1</v>
      </c>
      <c r="O195" s="11"/>
      <c r="P195" s="6"/>
      <c r="Q195" s="2"/>
      <c r="R195" s="7">
        <f t="shared" si="77"/>
        <v>0</v>
      </c>
      <c r="S195" s="2"/>
      <c r="T195" s="6">
        <v>0</v>
      </c>
      <c r="U195" s="2"/>
      <c r="V195" s="7">
        <f t="shared" si="78"/>
        <v>0</v>
      </c>
      <c r="W195" s="2"/>
      <c r="X195" s="6">
        <f t="shared" si="79"/>
        <v>0</v>
      </c>
      <c r="Y195" s="2"/>
      <c r="Z195" s="7">
        <f t="shared" si="80"/>
        <v>0</v>
      </c>
    </row>
    <row r="196" spans="1:26" s="24" customFormat="1" hidden="1" outlineLevel="2" x14ac:dyDescent="0.25">
      <c r="A196" s="29"/>
      <c r="B196" s="11" t="str">
        <f>CONCATENATE("          ", "6373", " - ", "MAINTENANCE CONTRACTS")</f>
        <v xml:space="preserve">          6373 - MAINTENANCE CONTRACTS</v>
      </c>
      <c r="C196" s="11"/>
      <c r="D196" s="6">
        <v>4034.78</v>
      </c>
      <c r="E196" s="2"/>
      <c r="F196" s="7">
        <f t="shared" si="73"/>
        <v>5.9557149041766207E-3</v>
      </c>
      <c r="G196" s="2"/>
      <c r="H196" s="6">
        <v>5396.67</v>
      </c>
      <c r="I196" s="2"/>
      <c r="J196" s="7">
        <f t="shared" si="74"/>
        <v>1.620885295364715E-2</v>
      </c>
      <c r="K196" s="2"/>
      <c r="L196" s="6">
        <f t="shared" si="75"/>
        <v>-1361.8899999999999</v>
      </c>
      <c r="M196" s="2"/>
      <c r="N196" s="7">
        <f t="shared" si="76"/>
        <v>-0.25235747229309924</v>
      </c>
      <c r="O196" s="11"/>
      <c r="P196" s="6">
        <v>12066.73</v>
      </c>
      <c r="Q196" s="2"/>
      <c r="R196" s="7">
        <f t="shared" si="77"/>
        <v>3.3437434234477245E-3</v>
      </c>
      <c r="S196" s="2"/>
      <c r="T196" s="6">
        <v>30585.72</v>
      </c>
      <c r="U196" s="2"/>
      <c r="V196" s="7">
        <f t="shared" si="78"/>
        <v>8.763485690607687E-3</v>
      </c>
      <c r="W196" s="2"/>
      <c r="X196" s="6">
        <f t="shared" si="79"/>
        <v>-18518.990000000002</v>
      </c>
      <c r="Y196" s="2"/>
      <c r="Z196" s="7">
        <f t="shared" si="80"/>
        <v>-0.60547830817780324</v>
      </c>
    </row>
    <row r="197" spans="1:26" s="24" customFormat="1" hidden="1" outlineLevel="2" x14ac:dyDescent="0.25">
      <c r="A197" s="29"/>
      <c r="B197" s="11" t="str">
        <f>CONCATENATE("          ", "6375", " - ", "OUTSIDE REPAIRS &amp; MAINTENANCE")</f>
        <v xml:space="preserve">          6375 - OUTSIDE REPAIRS &amp; MAINTENANCE</v>
      </c>
      <c r="C197" s="11"/>
      <c r="D197" s="6">
        <v>5518.6</v>
      </c>
      <c r="E197" s="2"/>
      <c r="F197" s="7">
        <f t="shared" si="73"/>
        <v>8.1459728337577517E-3</v>
      </c>
      <c r="G197" s="2"/>
      <c r="H197" s="6">
        <v>6139.63</v>
      </c>
      <c r="I197" s="2"/>
      <c r="J197" s="7">
        <f t="shared" si="74"/>
        <v>1.8440327064615892E-2</v>
      </c>
      <c r="K197" s="2"/>
      <c r="L197" s="6">
        <f t="shared" si="75"/>
        <v>-621.02999999999975</v>
      </c>
      <c r="M197" s="2"/>
      <c r="N197" s="7">
        <f t="shared" si="76"/>
        <v>-0.1011510465614377</v>
      </c>
      <c r="O197" s="11"/>
      <c r="P197" s="6">
        <v>14879.71</v>
      </c>
      <c r="Q197" s="2"/>
      <c r="R197" s="7">
        <f t="shared" si="77"/>
        <v>4.123232429606806E-3</v>
      </c>
      <c r="S197" s="2"/>
      <c r="T197" s="6">
        <v>8922.18</v>
      </c>
      <c r="U197" s="2"/>
      <c r="V197" s="7">
        <f t="shared" si="78"/>
        <v>2.5564020320275635E-3</v>
      </c>
      <c r="W197" s="2"/>
      <c r="X197" s="6">
        <f t="shared" si="79"/>
        <v>5957.5299999999988</v>
      </c>
      <c r="Y197" s="2"/>
      <c r="Z197" s="7">
        <f t="shared" si="80"/>
        <v>0.66772134164520314</v>
      </c>
    </row>
    <row r="198" spans="1:26" s="28" customFormat="1" outlineLevel="1" collapsed="1" x14ac:dyDescent="0.25">
      <c r="A198" s="27"/>
      <c r="B198" s="14" t="str">
        <f>CONCATENATE("     ","Royalty &amp; Commissions                             ")</f>
        <v xml:space="preserve">     Royalty &amp; Commissions                             </v>
      </c>
      <c r="C198" s="14"/>
      <c r="D198" s="1">
        <f>SUM(OSRRefD22_17x_0)</f>
        <v>10709.72</v>
      </c>
      <c r="E198" s="1"/>
      <c r="F198" s="5">
        <f t="shared" ref="F198:F201" si="81">IF(D$12=0,0,D198/D$12)</f>
        <v>1.5808554375593819E-2</v>
      </c>
      <c r="G198" s="1"/>
      <c r="H198" s="1">
        <f>SUM(OSRRefH22_17x_0)</f>
        <v>10810</v>
      </c>
      <c r="I198" s="1"/>
      <c r="J198" s="5">
        <f t="shared" ref="J198:J201" si="82">IF(H$12=0,0,H198/H$12)</f>
        <v>3.2467744077167154E-2</v>
      </c>
      <c r="K198" s="1"/>
      <c r="L198" s="1">
        <f t="shared" ref="L198:L201" si="83">+D198-H198</f>
        <v>-100.28000000000065</v>
      </c>
      <c r="M198" s="1"/>
      <c r="N198" s="5">
        <f t="shared" ref="N198:N201" si="84">IF(H198=0,0,L198/H198)</f>
        <v>-9.276595744680911E-3</v>
      </c>
      <c r="O198" s="14"/>
      <c r="P198" s="1">
        <f>SUM(OSRRefP22_17x_0)</f>
        <v>19840.93</v>
      </c>
      <c r="Q198" s="1"/>
      <c r="R198" s="5">
        <f t="shared" ref="R198:R201" si="85">IF(P$12=0,0,P198/P$12)</f>
        <v>5.4980080935420504E-3</v>
      </c>
      <c r="S198" s="1"/>
      <c r="T198" s="1">
        <f>SUM(OSRRefT22_17x_0)</f>
        <v>24117</v>
      </c>
      <c r="U198" s="1"/>
      <c r="V198" s="5">
        <f t="shared" ref="V198:V201" si="86">IF(T$12=0,0,T198/T$12)</f>
        <v>6.9100542475503462E-3</v>
      </c>
      <c r="W198" s="1"/>
      <c r="X198" s="1">
        <f t="shared" ref="X198:X201" si="87">+P198-T198</f>
        <v>-4276.07</v>
      </c>
      <c r="Y198" s="1"/>
      <c r="Z198" s="5">
        <f t="shared" ref="Z198:Z201" si="88">IF(T198=0,0,X198/T198)</f>
        <v>-0.17730522038396151</v>
      </c>
    </row>
    <row r="199" spans="1:26" s="24" customFormat="1" hidden="1" outlineLevel="2" x14ac:dyDescent="0.25">
      <c r="A199" s="29"/>
      <c r="B199" s="11" t="str">
        <f>CONCATENATE("          ", "6253", " - ", "ROYALTY DUE ATHLETICS-LRG")</f>
        <v xml:space="preserve">          6253 - ROYALTY DUE ATHLETICS-LRG</v>
      </c>
      <c r="C199" s="11"/>
      <c r="D199" s="6">
        <v>8783.75</v>
      </c>
      <c r="E199" s="2"/>
      <c r="F199" s="7">
        <f t="shared" si="81"/>
        <v>1.2965641445025848E-2</v>
      </c>
      <c r="G199" s="2"/>
      <c r="H199" s="6">
        <v>10489.6</v>
      </c>
      <c r="I199" s="2"/>
      <c r="J199" s="7">
        <f t="shared" si="82"/>
        <v>3.150542537204927E-2</v>
      </c>
      <c r="K199" s="2"/>
      <c r="L199" s="6">
        <f t="shared" si="83"/>
        <v>-1705.8500000000004</v>
      </c>
      <c r="M199" s="2"/>
      <c r="N199" s="7">
        <f t="shared" si="84"/>
        <v>-0.16262297895057964</v>
      </c>
      <c r="O199" s="11"/>
      <c r="P199" s="6">
        <v>23160.29</v>
      </c>
      <c r="Q199" s="2"/>
      <c r="R199" s="7">
        <f t="shared" si="85"/>
        <v>6.4178172025596081E-3</v>
      </c>
      <c r="S199" s="2"/>
      <c r="T199" s="6">
        <v>18411.8</v>
      </c>
      <c r="U199" s="2"/>
      <c r="V199" s="7">
        <f t="shared" si="86"/>
        <v>5.2753881824044229E-3</v>
      </c>
      <c r="W199" s="2"/>
      <c r="X199" s="6">
        <f t="shared" si="87"/>
        <v>4748.4900000000016</v>
      </c>
      <c r="Y199" s="2"/>
      <c r="Z199" s="7">
        <f t="shared" si="88"/>
        <v>0.25790471328169989</v>
      </c>
    </row>
    <row r="200" spans="1:26" s="24" customFormat="1" hidden="1" outlineLevel="2" x14ac:dyDescent="0.25">
      <c r="A200" s="29"/>
      <c r="B200" s="11" t="str">
        <f>CONCATENATE("          ", "6254", " - ", "ROYALTY &amp; COMMISSIONS")</f>
        <v xml:space="preserve">          6254 - ROYALTY &amp; COMMISSIONS</v>
      </c>
      <c r="C200" s="11"/>
      <c r="D200" s="6"/>
      <c r="E200" s="2"/>
      <c r="F200" s="7">
        <f t="shared" si="81"/>
        <v>0</v>
      </c>
      <c r="G200" s="2"/>
      <c r="H200" s="6"/>
      <c r="I200" s="2"/>
      <c r="J200" s="7">
        <f t="shared" si="82"/>
        <v>0</v>
      </c>
      <c r="K200" s="2"/>
      <c r="L200" s="6">
        <f t="shared" si="83"/>
        <v>0</v>
      </c>
      <c r="M200" s="2"/>
      <c r="N200" s="7">
        <f t="shared" si="84"/>
        <v>0</v>
      </c>
      <c r="O200" s="11"/>
      <c r="P200" s="6">
        <v>-7027.5</v>
      </c>
      <c r="Q200" s="2"/>
      <c r="R200" s="7">
        <f t="shared" si="85"/>
        <v>-1.9473508488446235E-3</v>
      </c>
      <c r="S200" s="2"/>
      <c r="T200" s="6"/>
      <c r="U200" s="2"/>
      <c r="V200" s="7">
        <f t="shared" si="86"/>
        <v>0</v>
      </c>
      <c r="W200" s="2"/>
      <c r="X200" s="6">
        <f t="shared" si="87"/>
        <v>-7027.5</v>
      </c>
      <c r="Y200" s="2"/>
      <c r="Z200" s="7">
        <f t="shared" si="88"/>
        <v>0</v>
      </c>
    </row>
    <row r="201" spans="1:26" s="24" customFormat="1" hidden="1" outlineLevel="2" x14ac:dyDescent="0.25">
      <c r="A201" s="29"/>
      <c r="B201" s="11" t="str">
        <f>CONCATENATE("          ", "6259", " - ", "ROYALTY &amp; COMMISSIONS")</f>
        <v xml:space="preserve">          6259 - ROYALTY &amp; COMMISSIONS</v>
      </c>
      <c r="C201" s="11"/>
      <c r="D201" s="6">
        <v>1925.97</v>
      </c>
      <c r="E201" s="2"/>
      <c r="F201" s="7">
        <f t="shared" si="81"/>
        <v>2.8429129305679729E-3</v>
      </c>
      <c r="G201" s="2"/>
      <c r="H201" s="6">
        <v>320.39999999999998</v>
      </c>
      <c r="I201" s="2"/>
      <c r="J201" s="7">
        <f t="shared" si="82"/>
        <v>9.6231870511788681E-4</v>
      </c>
      <c r="K201" s="2"/>
      <c r="L201" s="6">
        <f t="shared" si="83"/>
        <v>1605.5700000000002</v>
      </c>
      <c r="M201" s="2"/>
      <c r="N201" s="7">
        <f t="shared" si="84"/>
        <v>5.0111423220973794</v>
      </c>
      <c r="O201" s="11"/>
      <c r="P201" s="6">
        <v>3708.14</v>
      </c>
      <c r="Q201" s="2"/>
      <c r="R201" s="7">
        <f t="shared" si="85"/>
        <v>1.0275417398270654E-3</v>
      </c>
      <c r="S201" s="2"/>
      <c r="T201" s="6">
        <v>5705.2</v>
      </c>
      <c r="U201" s="2"/>
      <c r="V201" s="7">
        <f t="shared" si="86"/>
        <v>1.6346660651459235E-3</v>
      </c>
      <c r="W201" s="2"/>
      <c r="X201" s="6">
        <f t="shared" si="87"/>
        <v>-1997.06</v>
      </c>
      <c r="Y201" s="2"/>
      <c r="Z201" s="7">
        <f t="shared" si="88"/>
        <v>-0.35004206688634931</v>
      </c>
    </row>
    <row r="202" spans="1:26" s="28" customFormat="1" outlineLevel="1" collapsed="1" x14ac:dyDescent="0.25">
      <c r="A202" s="27"/>
      <c r="B202" s="14" t="str">
        <f>CONCATENATE("     ","Services                                          ")</f>
        <v xml:space="preserve">     Services                                          </v>
      </c>
      <c r="C202" s="14"/>
      <c r="D202" s="1">
        <f>SUM(OSRRefD22_18x_0)</f>
        <v>5241.84</v>
      </c>
      <c r="E202" s="1"/>
      <c r="F202" s="5">
        <f t="shared" ref="F202:F206" si="89">IF(D$12=0,0,D202/D$12)</f>
        <v>7.737449033976866E-3</v>
      </c>
      <c r="G202" s="1"/>
      <c r="H202" s="1">
        <f>SUM(OSRRefH22_18x_0)</f>
        <v>3968.4200000000005</v>
      </c>
      <c r="I202" s="1"/>
      <c r="J202" s="5">
        <f t="shared" ref="J202:J206" si="90">IF(H$12=0,0,H202/H$12)</f>
        <v>1.1919116091647707E-2</v>
      </c>
      <c r="K202" s="1"/>
      <c r="L202" s="1">
        <f t="shared" ref="L202:L206" si="91">+D202-H202</f>
        <v>1273.4199999999996</v>
      </c>
      <c r="M202" s="1"/>
      <c r="N202" s="5">
        <f t="shared" ref="N202:N206" si="92">IF(H202=0,0,L202/H202)</f>
        <v>0.3208884140287569</v>
      </c>
      <c r="O202" s="14"/>
      <c r="P202" s="1">
        <f>SUM(OSRRefP22_18x_0)</f>
        <v>26462.6</v>
      </c>
      <c r="Q202" s="1"/>
      <c r="R202" s="5">
        <f t="shared" ref="R202:R206" si="93">IF(P$12=0,0,P202/P$12)</f>
        <v>7.3329016823387733E-3</v>
      </c>
      <c r="S202" s="1"/>
      <c r="T202" s="1">
        <f>SUM(OSRRefT22_18x_0)</f>
        <v>12791.19</v>
      </c>
      <c r="U202" s="1"/>
      <c r="V202" s="5">
        <f t="shared" ref="V202:V206" si="94">IF(T$12=0,0,T202/T$12)</f>
        <v>3.6649590243696779E-3</v>
      </c>
      <c r="W202" s="1"/>
      <c r="X202" s="1">
        <f t="shared" ref="X202:X206" si="95">+P202-T202</f>
        <v>13671.409999999998</v>
      </c>
      <c r="Y202" s="1"/>
      <c r="Z202" s="5">
        <f t="shared" ref="Z202:Z206" si="96">IF(T202=0,0,X202/T202)</f>
        <v>1.0688145512653628</v>
      </c>
    </row>
    <row r="203" spans="1:26" s="24" customFormat="1" hidden="1" outlineLevel="2" x14ac:dyDescent="0.25">
      <c r="A203" s="29"/>
      <c r="B203" s="11" t="str">
        <f>CONCATENATE("          ", "6282", " - ", "JANITORIAL/EXTERMINATOR EXPENS")</f>
        <v xml:space="preserve">          6282 - JANITORIAL/EXTERMINATOR EXPENS</v>
      </c>
      <c r="C203" s="11"/>
      <c r="D203" s="6">
        <v>753.11</v>
      </c>
      <c r="E203" s="2"/>
      <c r="F203" s="7">
        <f t="shared" si="89"/>
        <v>1.1116612185755989E-3</v>
      </c>
      <c r="G203" s="2"/>
      <c r="H203" s="6">
        <v>4330.68</v>
      </c>
      <c r="I203" s="2"/>
      <c r="J203" s="7">
        <f t="shared" si="90"/>
        <v>1.3007160954681431E-2</v>
      </c>
      <c r="K203" s="2"/>
      <c r="L203" s="6">
        <f t="shared" si="91"/>
        <v>-3577.57</v>
      </c>
      <c r="M203" s="2"/>
      <c r="N203" s="7">
        <f t="shared" si="92"/>
        <v>-0.82609890363638039</v>
      </c>
      <c r="O203" s="11"/>
      <c r="P203" s="6">
        <v>1728.68</v>
      </c>
      <c r="Q203" s="2"/>
      <c r="R203" s="7">
        <f t="shared" si="93"/>
        <v>4.79024754945674E-4</v>
      </c>
      <c r="S203" s="2"/>
      <c r="T203" s="6">
        <v>5073.62</v>
      </c>
      <c r="U203" s="2"/>
      <c r="V203" s="7">
        <f t="shared" si="94"/>
        <v>1.45370441727646E-3</v>
      </c>
      <c r="W203" s="2"/>
      <c r="X203" s="6">
        <f t="shared" si="95"/>
        <v>-3344.9399999999996</v>
      </c>
      <c r="Y203" s="2"/>
      <c r="Z203" s="7">
        <f t="shared" si="96"/>
        <v>-0.65928075023356103</v>
      </c>
    </row>
    <row r="204" spans="1:26" s="24" customFormat="1" hidden="1" outlineLevel="2" x14ac:dyDescent="0.25">
      <c r="A204" s="29"/>
      <c r="B204" s="11" t="str">
        <f>CONCATENATE("          ", "6283", " - ", "PLANT SERVICE")</f>
        <v xml:space="preserve">          6283 - PLANT SERVICE</v>
      </c>
      <c r="C204" s="11"/>
      <c r="D204" s="6"/>
      <c r="E204" s="2"/>
      <c r="F204" s="7">
        <f t="shared" si="89"/>
        <v>0</v>
      </c>
      <c r="G204" s="2"/>
      <c r="H204" s="6"/>
      <c r="I204" s="2"/>
      <c r="J204" s="7">
        <f t="shared" si="90"/>
        <v>0</v>
      </c>
      <c r="K204" s="2"/>
      <c r="L204" s="6">
        <f t="shared" si="91"/>
        <v>0</v>
      </c>
      <c r="M204" s="2"/>
      <c r="N204" s="7">
        <f t="shared" si="92"/>
        <v>0</v>
      </c>
      <c r="O204" s="11"/>
      <c r="P204" s="6"/>
      <c r="Q204" s="2"/>
      <c r="R204" s="7">
        <f t="shared" si="93"/>
        <v>0</v>
      </c>
      <c r="S204" s="2"/>
      <c r="T204" s="6">
        <v>130</v>
      </c>
      <c r="U204" s="2"/>
      <c r="V204" s="7">
        <f t="shared" si="94"/>
        <v>3.7247877106669363E-5</v>
      </c>
      <c r="W204" s="2"/>
      <c r="X204" s="6">
        <f t="shared" si="95"/>
        <v>-130</v>
      </c>
      <c r="Y204" s="2"/>
      <c r="Z204" s="7">
        <f t="shared" si="96"/>
        <v>-1</v>
      </c>
    </row>
    <row r="205" spans="1:26" s="24" customFormat="1" hidden="1" outlineLevel="2" x14ac:dyDescent="0.25">
      <c r="A205" s="29"/>
      <c r="B205" s="11" t="str">
        <f>CONCATENATE("          ", "6284", " - ", "TRASH REMOVAL EXPENSE")</f>
        <v xml:space="preserve">          6284 - TRASH REMOVAL EXPENSE</v>
      </c>
      <c r="C205" s="11"/>
      <c r="D205" s="6">
        <v>149.69999999999999</v>
      </c>
      <c r="E205" s="2"/>
      <c r="F205" s="7">
        <f t="shared" si="89"/>
        <v>2.2097128496603038E-4</v>
      </c>
      <c r="G205" s="2"/>
      <c r="H205" s="6">
        <v>157.59</v>
      </c>
      <c r="I205" s="2"/>
      <c r="J205" s="7">
        <f t="shared" si="90"/>
        <v>4.7332023951163481E-4</v>
      </c>
      <c r="K205" s="2"/>
      <c r="L205" s="6">
        <f t="shared" si="91"/>
        <v>-7.8900000000000148</v>
      </c>
      <c r="M205" s="2"/>
      <c r="N205" s="7">
        <f t="shared" si="92"/>
        <v>-5.0066628593184941E-2</v>
      </c>
      <c r="O205" s="11"/>
      <c r="P205" s="6">
        <v>591.66999999999996</v>
      </c>
      <c r="Q205" s="2"/>
      <c r="R205" s="7">
        <f t="shared" si="93"/>
        <v>1.6395433322460311E-4</v>
      </c>
      <c r="S205" s="2"/>
      <c r="T205" s="6">
        <v>585.29999999999995</v>
      </c>
      <c r="U205" s="2"/>
      <c r="V205" s="7">
        <f t="shared" si="94"/>
        <v>1.6770140361948904E-4</v>
      </c>
      <c r="W205" s="2"/>
      <c r="X205" s="6">
        <f t="shared" si="95"/>
        <v>6.3700000000000045</v>
      </c>
      <c r="Y205" s="2"/>
      <c r="Z205" s="7">
        <f t="shared" si="96"/>
        <v>1.0883307705450205E-2</v>
      </c>
    </row>
    <row r="206" spans="1:26" s="24" customFormat="1" hidden="1" outlineLevel="2" x14ac:dyDescent="0.25">
      <c r="A206" s="29"/>
      <c r="B206" s="11" t="str">
        <f>CONCATENATE("          ", "6285", " - ", "JANITORIAL SERVICES")</f>
        <v xml:space="preserve">          6285 - JANITORIAL SERVICES</v>
      </c>
      <c r="C206" s="11"/>
      <c r="D206" s="6">
        <v>4339.03</v>
      </c>
      <c r="E206" s="2"/>
      <c r="F206" s="7">
        <f t="shared" si="89"/>
        <v>6.4048165304352363E-3</v>
      </c>
      <c r="G206" s="2"/>
      <c r="H206" s="6">
        <v>-519.85</v>
      </c>
      <c r="I206" s="2"/>
      <c r="J206" s="7">
        <f t="shared" si="90"/>
        <v>-1.5613651025453605E-3</v>
      </c>
      <c r="K206" s="2"/>
      <c r="L206" s="6">
        <f t="shared" si="91"/>
        <v>4858.88</v>
      </c>
      <c r="M206" s="2"/>
      <c r="N206" s="7">
        <f t="shared" si="92"/>
        <v>-9.3466961623545259</v>
      </c>
      <c r="O206" s="11"/>
      <c r="P206" s="6">
        <v>24142.25</v>
      </c>
      <c r="Q206" s="2"/>
      <c r="R206" s="7">
        <f t="shared" si="93"/>
        <v>6.6899225941684966E-3</v>
      </c>
      <c r="S206" s="2"/>
      <c r="T206" s="6">
        <v>7002.27</v>
      </c>
      <c r="U206" s="2"/>
      <c r="V206" s="7">
        <f t="shared" si="94"/>
        <v>2.0063053263670591E-3</v>
      </c>
      <c r="W206" s="2"/>
      <c r="X206" s="6">
        <f t="shared" si="95"/>
        <v>17139.98</v>
      </c>
      <c r="Y206" s="2"/>
      <c r="Z206" s="7">
        <f t="shared" si="96"/>
        <v>2.4477747930314027</v>
      </c>
    </row>
    <row r="207" spans="1:26" s="28" customFormat="1" outlineLevel="1" collapsed="1" x14ac:dyDescent="0.25">
      <c r="A207" s="27"/>
      <c r="B207" s="14" t="str">
        <f>CONCATENATE("     ","Subscriptions &amp; Dues                              ")</f>
        <v xml:space="preserve">     Subscriptions &amp; Dues                              </v>
      </c>
      <c r="C207" s="14"/>
      <c r="D207" s="1">
        <f>SUM(OSRRefD22_19x_0)</f>
        <v>904.08</v>
      </c>
      <c r="E207" s="1"/>
      <c r="F207" s="5">
        <f t="shared" ref="F207:F209" si="97">IF(D$12=0,0,D207/D$12)</f>
        <v>1.3345071430333252E-3</v>
      </c>
      <c r="G207" s="1"/>
      <c r="H207" s="1">
        <f>SUM(OSRRefH22_19x_0)</f>
        <v>865.32</v>
      </c>
      <c r="I207" s="1"/>
      <c r="J207" s="5">
        <f t="shared" ref="J207:J209" si="98">IF(H$12=0,0,H207/H$12)</f>
        <v>2.5989813417996565E-3</v>
      </c>
      <c r="K207" s="1"/>
      <c r="L207" s="1">
        <f t="shared" ref="L207:L209" si="99">+D207-H207</f>
        <v>38.759999999999991</v>
      </c>
      <c r="M207" s="1"/>
      <c r="N207" s="5">
        <f t="shared" ref="N207:N209" si="100">IF(H207=0,0,L207/H207)</f>
        <v>4.47926778532797E-2</v>
      </c>
      <c r="O207" s="14"/>
      <c r="P207" s="1">
        <f>SUM(OSRRefP22_19x_0)</f>
        <v>956.84</v>
      </c>
      <c r="Q207" s="1"/>
      <c r="R207" s="5">
        <f t="shared" ref="R207:R209" si="101">IF(P$12=0,0,P207/P$12)</f>
        <v>2.6514453023244251E-4</v>
      </c>
      <c r="S207" s="1"/>
      <c r="T207" s="1">
        <f>SUM(OSRRefT22_19x_0)</f>
        <v>1649.09</v>
      </c>
      <c r="U207" s="1"/>
      <c r="V207" s="5">
        <f t="shared" ref="V207:V209" si="102">IF(T$12=0,0,T207/T$12)</f>
        <v>4.7250078198336445E-4</v>
      </c>
      <c r="W207" s="1"/>
      <c r="X207" s="1">
        <f t="shared" ref="X207:X209" si="103">+P207-T207</f>
        <v>-692.24999999999989</v>
      </c>
      <c r="Y207" s="1"/>
      <c r="Z207" s="5">
        <f t="shared" ref="Z207:Z209" si="104">IF(T207=0,0,X207/T207)</f>
        <v>-0.41977696790351038</v>
      </c>
    </row>
    <row r="208" spans="1:26" s="24" customFormat="1" hidden="1" outlineLevel="2" x14ac:dyDescent="0.25">
      <c r="A208" s="29"/>
      <c r="B208" s="11" t="str">
        <f>CONCATENATE("          ", "6258", " - ", "MEMBERSHIP DUES")</f>
        <v xml:space="preserve">          6258 - MEMBERSHIP DUES</v>
      </c>
      <c r="C208" s="11"/>
      <c r="D208" s="6">
        <v>904.08</v>
      </c>
      <c r="E208" s="2"/>
      <c r="F208" s="7">
        <f t="shared" si="97"/>
        <v>1.3345071430333252E-3</v>
      </c>
      <c r="G208" s="2"/>
      <c r="H208" s="6">
        <v>790.32</v>
      </c>
      <c r="I208" s="2"/>
      <c r="J208" s="7">
        <f t="shared" si="98"/>
        <v>2.3737194726241211E-3</v>
      </c>
      <c r="K208" s="2"/>
      <c r="L208" s="6">
        <f t="shared" si="99"/>
        <v>113.75999999999999</v>
      </c>
      <c r="M208" s="2"/>
      <c r="N208" s="7">
        <f t="shared" si="100"/>
        <v>0.14394169450349223</v>
      </c>
      <c r="O208" s="11"/>
      <c r="P208" s="6">
        <v>956.84</v>
      </c>
      <c r="Q208" s="2"/>
      <c r="R208" s="7">
        <f t="shared" si="101"/>
        <v>2.6514453023244251E-4</v>
      </c>
      <c r="S208" s="2"/>
      <c r="T208" s="6">
        <v>1423.36</v>
      </c>
      <c r="U208" s="2"/>
      <c r="V208" s="7">
        <f t="shared" si="102"/>
        <v>4.0782414121960691E-4</v>
      </c>
      <c r="W208" s="2"/>
      <c r="X208" s="6">
        <f t="shared" si="103"/>
        <v>-466.51999999999987</v>
      </c>
      <c r="Y208" s="2"/>
      <c r="Z208" s="7">
        <f t="shared" si="104"/>
        <v>-0.32775966726618699</v>
      </c>
    </row>
    <row r="209" spans="1:26" s="24" customFormat="1" hidden="1" outlineLevel="2" x14ac:dyDescent="0.25">
      <c r="A209" s="29"/>
      <c r="B209" s="11" t="str">
        <f>CONCATENATE("          ", "6275", " - ", "SUBSCRIPTIONS")</f>
        <v xml:space="preserve">          6275 - SUBSCRIPTIONS</v>
      </c>
      <c r="C209" s="11"/>
      <c r="D209" s="6"/>
      <c r="E209" s="2"/>
      <c r="F209" s="7">
        <f t="shared" si="97"/>
        <v>0</v>
      </c>
      <c r="G209" s="2"/>
      <c r="H209" s="6">
        <v>75</v>
      </c>
      <c r="I209" s="2"/>
      <c r="J209" s="7">
        <f t="shared" si="98"/>
        <v>2.2526186917553532E-4</v>
      </c>
      <c r="K209" s="2"/>
      <c r="L209" s="6">
        <f t="shared" si="99"/>
        <v>-75</v>
      </c>
      <c r="M209" s="2"/>
      <c r="N209" s="7">
        <f t="shared" si="100"/>
        <v>-1</v>
      </c>
      <c r="O209" s="11"/>
      <c r="P209" s="6"/>
      <c r="Q209" s="2"/>
      <c r="R209" s="7">
        <f t="shared" si="101"/>
        <v>0</v>
      </c>
      <c r="S209" s="2"/>
      <c r="T209" s="6">
        <v>225.73</v>
      </c>
      <c r="U209" s="2"/>
      <c r="V209" s="7">
        <f t="shared" si="102"/>
        <v>6.4676640763757499E-5</v>
      </c>
      <c r="W209" s="2"/>
      <c r="X209" s="6">
        <f t="shared" si="103"/>
        <v>-225.73</v>
      </c>
      <c r="Y209" s="2"/>
      <c r="Z209" s="7">
        <f t="shared" si="104"/>
        <v>-1</v>
      </c>
    </row>
    <row r="210" spans="1:26" s="28" customFormat="1" outlineLevel="1" collapsed="1" x14ac:dyDescent="0.25">
      <c r="A210" s="27"/>
      <c r="B210" s="14" t="str">
        <f>CONCATENATE("     ","Supplies                                          ")</f>
        <v xml:space="preserve">     Supplies                                          </v>
      </c>
      <c r="C210" s="14"/>
      <c r="D210" s="1">
        <f>SUM(OSRRefD22_20x_0)</f>
        <v>12404.46</v>
      </c>
      <c r="E210" s="1"/>
      <c r="F210" s="5">
        <f t="shared" ref="F210:F217" si="105">IF(D$12=0,0,D210/D$12)</f>
        <v>1.8310150070205245E-2</v>
      </c>
      <c r="G210" s="1"/>
      <c r="H210" s="1">
        <f>SUM(OSRRefH22_20x_0)</f>
        <v>23238.389999999996</v>
      </c>
      <c r="I210" s="1"/>
      <c r="J210" s="5">
        <f t="shared" ref="J210:J217" si="106">IF(H$12=0,0,H210/H$12)</f>
        <v>6.9796308907067561E-2</v>
      </c>
      <c r="K210" s="1"/>
      <c r="L210" s="1">
        <f t="shared" ref="L210:L217" si="107">+D210-H210</f>
        <v>-10833.929999999997</v>
      </c>
      <c r="M210" s="1"/>
      <c r="N210" s="5">
        <f t="shared" ref="N210:N217" si="108">IF(H210=0,0,L210/H210)</f>
        <v>-0.46620828723504504</v>
      </c>
      <c r="O210" s="14"/>
      <c r="P210" s="1">
        <f>SUM(OSRRefP22_20x_0)</f>
        <v>43050.18</v>
      </c>
      <c r="Q210" s="1"/>
      <c r="R210" s="5">
        <f t="shared" ref="R210:R217" si="109">IF(P$12=0,0,P210/P$12)</f>
        <v>1.192939232528123E-2</v>
      </c>
      <c r="S210" s="1"/>
      <c r="T210" s="1">
        <f>SUM(OSRRefT22_20x_0)</f>
        <v>58123.44</v>
      </c>
      <c r="U210" s="1"/>
      <c r="V210" s="5">
        <f t="shared" ref="V210:V217" si="110">IF(T$12=0,0,T210/T$12)</f>
        <v>1.6653651924129771E-2</v>
      </c>
      <c r="W210" s="1"/>
      <c r="X210" s="1">
        <f t="shared" ref="X210:X217" si="111">+P210-T210</f>
        <v>-15073.260000000002</v>
      </c>
      <c r="Y210" s="1"/>
      <c r="Z210" s="5">
        <f t="shared" ref="Z210:Z217" si="112">IF(T210=0,0,X210/T210)</f>
        <v>-0.25933186335839725</v>
      </c>
    </row>
    <row r="211" spans="1:26" s="24" customFormat="1" hidden="1" outlineLevel="2" x14ac:dyDescent="0.25">
      <c r="A211" s="29"/>
      <c r="B211" s="11" t="str">
        <f>CONCATENATE("          ", "6234", " - ", "EXPENDABLE SUPPLIES &amp; EQUIPMEN")</f>
        <v xml:space="preserve">          6234 - EXPENDABLE SUPPLIES &amp; EQUIPMEN</v>
      </c>
      <c r="C211" s="11"/>
      <c r="D211" s="6">
        <v>2542.41</v>
      </c>
      <c r="E211" s="2"/>
      <c r="F211" s="7">
        <f t="shared" si="105"/>
        <v>3.7528363701435224E-3</v>
      </c>
      <c r="G211" s="2"/>
      <c r="H211" s="6">
        <v>101.34</v>
      </c>
      <c r="I211" s="2"/>
      <c r="J211" s="7">
        <f t="shared" si="106"/>
        <v>3.0437383762998331E-4</v>
      </c>
      <c r="K211" s="2"/>
      <c r="L211" s="6">
        <f t="shared" si="107"/>
        <v>2441.0699999999997</v>
      </c>
      <c r="M211" s="2"/>
      <c r="N211" s="7">
        <f t="shared" si="108"/>
        <v>24.087921847246889</v>
      </c>
      <c r="O211" s="11"/>
      <c r="P211" s="6">
        <v>2542.41</v>
      </c>
      <c r="Q211" s="2"/>
      <c r="R211" s="7">
        <f t="shared" si="109"/>
        <v>7.0451288105457968E-4</v>
      </c>
      <c r="S211" s="2"/>
      <c r="T211" s="6">
        <v>101.34</v>
      </c>
      <c r="U211" s="2"/>
      <c r="V211" s="7">
        <f t="shared" si="110"/>
        <v>2.9036152815306719E-5</v>
      </c>
      <c r="W211" s="2"/>
      <c r="X211" s="6">
        <f t="shared" si="111"/>
        <v>2441.0699999999997</v>
      </c>
      <c r="Y211" s="2"/>
      <c r="Z211" s="7">
        <f t="shared" si="112"/>
        <v>24.087921847246889</v>
      </c>
    </row>
    <row r="212" spans="1:26" s="24" customFormat="1" hidden="1" outlineLevel="2" x14ac:dyDescent="0.25">
      <c r="A212" s="29"/>
      <c r="B212" s="11" t="str">
        <f>CONCATENATE("          ", "6235", " - ", "COVID-19 EXPENSES")</f>
        <v xml:space="preserve">          6235 - COVID-19 EXPENSES</v>
      </c>
      <c r="C212" s="11"/>
      <c r="D212" s="6"/>
      <c r="E212" s="2"/>
      <c r="F212" s="7">
        <f t="shared" si="105"/>
        <v>0</v>
      </c>
      <c r="G212" s="2"/>
      <c r="H212" s="6">
        <v>16805.12</v>
      </c>
      <c r="I212" s="2"/>
      <c r="J212" s="7">
        <f t="shared" si="106"/>
        <v>5.0474036572255625E-2</v>
      </c>
      <c r="K212" s="2"/>
      <c r="L212" s="6">
        <f t="shared" si="107"/>
        <v>-16805.12</v>
      </c>
      <c r="M212" s="2"/>
      <c r="N212" s="7">
        <f t="shared" si="108"/>
        <v>-1</v>
      </c>
      <c r="O212" s="11"/>
      <c r="P212" s="6">
        <v>3430.32</v>
      </c>
      <c r="Q212" s="2"/>
      <c r="R212" s="7">
        <f t="shared" si="109"/>
        <v>9.5055660815491843E-4</v>
      </c>
      <c r="S212" s="2"/>
      <c r="T212" s="6">
        <v>26567.91</v>
      </c>
      <c r="U212" s="2"/>
      <c r="V212" s="7">
        <f t="shared" si="110"/>
        <v>7.6122942050850153E-3</v>
      </c>
      <c r="W212" s="2"/>
      <c r="X212" s="6">
        <f t="shared" si="111"/>
        <v>-23137.59</v>
      </c>
      <c r="Y212" s="2"/>
      <c r="Z212" s="7">
        <f t="shared" si="112"/>
        <v>-0.87088483813743722</v>
      </c>
    </row>
    <row r="213" spans="1:26" s="24" customFormat="1" hidden="1" outlineLevel="2" x14ac:dyDescent="0.25">
      <c r="A213" s="29"/>
      <c r="B213" s="11" t="str">
        <f>CONCATENATE("          ", "6237", " - ", "JANITORIAL SUPPLIES")</f>
        <v xml:space="preserve">          6237 - JANITORIAL SUPPLIES</v>
      </c>
      <c r="C213" s="11"/>
      <c r="D213" s="6">
        <v>1303.78</v>
      </c>
      <c r="E213" s="2"/>
      <c r="F213" s="7">
        <f t="shared" si="105"/>
        <v>1.9245019499867142E-3</v>
      </c>
      <c r="G213" s="2"/>
      <c r="H213" s="6">
        <v>1109.05</v>
      </c>
      <c r="I213" s="2"/>
      <c r="J213" s="7">
        <f t="shared" si="106"/>
        <v>3.3310223467883657E-3</v>
      </c>
      <c r="K213" s="2"/>
      <c r="L213" s="6">
        <f t="shared" si="107"/>
        <v>194.73000000000002</v>
      </c>
      <c r="M213" s="2"/>
      <c r="N213" s="7">
        <f t="shared" si="108"/>
        <v>0.17558270591948066</v>
      </c>
      <c r="O213" s="11"/>
      <c r="P213" s="6">
        <v>3376.47</v>
      </c>
      <c r="Q213" s="2"/>
      <c r="R213" s="7">
        <f t="shared" si="109"/>
        <v>9.3563453868351551E-4</v>
      </c>
      <c r="S213" s="2"/>
      <c r="T213" s="6">
        <v>1248.3599999999999</v>
      </c>
      <c r="U213" s="2"/>
      <c r="V213" s="7">
        <f t="shared" si="110"/>
        <v>3.5768276819139814E-4</v>
      </c>
      <c r="W213" s="2"/>
      <c r="X213" s="6">
        <f t="shared" si="111"/>
        <v>2128.1099999999997</v>
      </c>
      <c r="Y213" s="2"/>
      <c r="Z213" s="7">
        <f t="shared" si="112"/>
        <v>1.7047245986734594</v>
      </c>
    </row>
    <row r="214" spans="1:26" s="24" customFormat="1" hidden="1" outlineLevel="2" x14ac:dyDescent="0.25">
      <c r="A214" s="29"/>
      <c r="B214" s="11" t="str">
        <f>CONCATENATE("          ", "6241", " - ", "OFFICE EXPENSE")</f>
        <v xml:space="preserve">          6241 - OFFICE EXPENSE</v>
      </c>
      <c r="C214" s="11"/>
      <c r="D214" s="6">
        <v>1149.57</v>
      </c>
      <c r="E214" s="2"/>
      <c r="F214" s="7">
        <f t="shared" si="105"/>
        <v>1.6968734806840316E-3</v>
      </c>
      <c r="G214" s="2"/>
      <c r="H214" s="6">
        <v>359.78</v>
      </c>
      <c r="I214" s="2"/>
      <c r="J214" s="7">
        <f t="shared" si="106"/>
        <v>1.0805962038929879E-3</v>
      </c>
      <c r="K214" s="2"/>
      <c r="L214" s="6">
        <f t="shared" si="107"/>
        <v>789.79</v>
      </c>
      <c r="M214" s="2"/>
      <c r="N214" s="7">
        <f t="shared" si="108"/>
        <v>2.1952026238256712</v>
      </c>
      <c r="O214" s="11"/>
      <c r="P214" s="6">
        <v>7335.91</v>
      </c>
      <c r="Q214" s="2"/>
      <c r="R214" s="7">
        <f t="shared" si="109"/>
        <v>2.0328126027104607E-3</v>
      </c>
      <c r="S214" s="2"/>
      <c r="T214" s="6">
        <v>8666.06</v>
      </c>
      <c r="U214" s="2"/>
      <c r="V214" s="7">
        <f t="shared" si="110"/>
        <v>2.483017983684793E-3</v>
      </c>
      <c r="W214" s="2"/>
      <c r="X214" s="6">
        <f t="shared" si="111"/>
        <v>-1330.1499999999996</v>
      </c>
      <c r="Y214" s="2"/>
      <c r="Z214" s="7">
        <f t="shared" si="112"/>
        <v>-0.15348959042517588</v>
      </c>
    </row>
    <row r="215" spans="1:26" s="24" customFormat="1" hidden="1" outlineLevel="2" x14ac:dyDescent="0.25">
      <c r="A215" s="29"/>
      <c r="B215" s="11" t="str">
        <f>CONCATENATE("          ", "6243", " - ", "PAPER SUPPLIES")</f>
        <v xml:space="preserve">          6243 - PAPER SUPPLIES</v>
      </c>
      <c r="C215" s="11"/>
      <c r="D215" s="6">
        <v>735.87</v>
      </c>
      <c r="E215" s="2"/>
      <c r="F215" s="7">
        <f t="shared" si="105"/>
        <v>1.0862133564993506E-3</v>
      </c>
      <c r="G215" s="2"/>
      <c r="H215" s="6">
        <v>449.01</v>
      </c>
      <c r="I215" s="2"/>
      <c r="J215" s="7">
        <f t="shared" si="106"/>
        <v>1.3485977583800948E-3</v>
      </c>
      <c r="K215" s="2"/>
      <c r="L215" s="6">
        <f t="shared" si="107"/>
        <v>286.86</v>
      </c>
      <c r="M215" s="2"/>
      <c r="N215" s="7">
        <f t="shared" si="108"/>
        <v>0.63887218547471103</v>
      </c>
      <c r="O215" s="11"/>
      <c r="P215" s="6">
        <v>4186.79</v>
      </c>
      <c r="Q215" s="2"/>
      <c r="R215" s="7">
        <f t="shared" si="109"/>
        <v>1.1601777389447429E-3</v>
      </c>
      <c r="S215" s="2"/>
      <c r="T215" s="6">
        <v>3573.7</v>
      </c>
      <c r="U215" s="2"/>
      <c r="V215" s="7">
        <f t="shared" si="110"/>
        <v>1.0239441416623407E-3</v>
      </c>
      <c r="W215" s="2"/>
      <c r="X215" s="6">
        <f t="shared" si="111"/>
        <v>613.09000000000015</v>
      </c>
      <c r="Y215" s="2"/>
      <c r="Z215" s="7">
        <f t="shared" si="112"/>
        <v>0.17155609032655236</v>
      </c>
    </row>
    <row r="216" spans="1:26" s="24" customFormat="1" hidden="1" outlineLevel="2" x14ac:dyDescent="0.25">
      <c r="A216" s="29"/>
      <c r="B216" s="11" t="str">
        <f>CONCATENATE("          ", "6245", " - ", "PRINTING")</f>
        <v xml:space="preserve">          6245 - PRINTING</v>
      </c>
      <c r="C216" s="11"/>
      <c r="D216" s="6">
        <v>296.68</v>
      </c>
      <c r="E216" s="2"/>
      <c r="F216" s="7">
        <f t="shared" si="105"/>
        <v>4.3792759401283833E-4</v>
      </c>
      <c r="G216" s="2"/>
      <c r="H216" s="6">
        <v>353.09</v>
      </c>
      <c r="I216" s="2"/>
      <c r="J216" s="7">
        <f t="shared" si="106"/>
        <v>1.0605028451625301E-3</v>
      </c>
      <c r="K216" s="2"/>
      <c r="L216" s="6">
        <f t="shared" si="107"/>
        <v>-56.409999999999968</v>
      </c>
      <c r="M216" s="2"/>
      <c r="N216" s="7">
        <f t="shared" si="108"/>
        <v>-0.15976096745872148</v>
      </c>
      <c r="O216" s="11"/>
      <c r="P216" s="6">
        <v>-27.07</v>
      </c>
      <c r="Q216" s="2"/>
      <c r="R216" s="7">
        <f t="shared" si="109"/>
        <v>-7.5012148670542805E-6</v>
      </c>
      <c r="S216" s="2"/>
      <c r="T216" s="6">
        <v>414.55</v>
      </c>
      <c r="U216" s="2"/>
      <c r="V216" s="7">
        <f t="shared" si="110"/>
        <v>1.187777496505368E-4</v>
      </c>
      <c r="W216" s="2"/>
      <c r="X216" s="6">
        <f t="shared" si="111"/>
        <v>-441.62</v>
      </c>
      <c r="Y216" s="2"/>
      <c r="Z216" s="7">
        <f t="shared" si="112"/>
        <v>-1.065299722590761</v>
      </c>
    </row>
    <row r="217" spans="1:26" s="24" customFormat="1" hidden="1" outlineLevel="2" x14ac:dyDescent="0.25">
      <c r="A217" s="29"/>
      <c r="B217" s="11" t="str">
        <f>CONCATENATE("          ", "6247", " - ", "STORE SUPPLIES")</f>
        <v xml:space="preserve">          6247 - STORE SUPPLIES</v>
      </c>
      <c r="C217" s="11"/>
      <c r="D217" s="6">
        <v>6376.15</v>
      </c>
      <c r="E217" s="2"/>
      <c r="F217" s="7">
        <f t="shared" si="105"/>
        <v>9.4117973188787892E-3</v>
      </c>
      <c r="G217" s="2"/>
      <c r="H217" s="6">
        <v>4061</v>
      </c>
      <c r="I217" s="2"/>
      <c r="J217" s="7">
        <f t="shared" si="106"/>
        <v>1.2197179342957986E-2</v>
      </c>
      <c r="K217" s="2"/>
      <c r="L217" s="6">
        <f t="shared" si="107"/>
        <v>2315.1499999999996</v>
      </c>
      <c r="M217" s="2"/>
      <c r="N217" s="7">
        <f t="shared" si="108"/>
        <v>0.57009357301157337</v>
      </c>
      <c r="O217" s="11"/>
      <c r="P217" s="6">
        <v>22205.35</v>
      </c>
      <c r="Q217" s="2"/>
      <c r="R217" s="7">
        <f t="shared" si="109"/>
        <v>6.1531991706000651E-3</v>
      </c>
      <c r="S217" s="2"/>
      <c r="T217" s="6">
        <v>17551.52</v>
      </c>
      <c r="U217" s="2"/>
      <c r="V217" s="7">
        <f t="shared" si="110"/>
        <v>5.0288989230403806E-3</v>
      </c>
      <c r="W217" s="2"/>
      <c r="X217" s="6">
        <f t="shared" si="111"/>
        <v>4653.8299999999981</v>
      </c>
      <c r="Y217" s="2"/>
      <c r="Z217" s="7">
        <f t="shared" si="112"/>
        <v>0.26515253379764248</v>
      </c>
    </row>
    <row r="218" spans="1:26" s="28" customFormat="1" outlineLevel="1" collapsed="1" x14ac:dyDescent="0.25">
      <c r="A218" s="27"/>
      <c r="B218" s="14" t="str">
        <f>CONCATENATE("     ","Telephone/Data Lines                              ")</f>
        <v xml:space="preserve">     Telephone/Data Lines                              </v>
      </c>
      <c r="C218" s="14"/>
      <c r="D218" s="1">
        <f>SUM(OSRRefD22_21x_0)</f>
        <v>2607.34</v>
      </c>
      <c r="E218" s="1"/>
      <c r="F218" s="5">
        <f t="shared" ref="F218:F220" si="113">IF(D$12=0,0,D218/D$12)</f>
        <v>3.8486791592740799E-3</v>
      </c>
      <c r="G218" s="1"/>
      <c r="H218" s="1">
        <f>SUM(OSRRefH22_21x_0)</f>
        <v>1203.6300000000001</v>
      </c>
      <c r="I218" s="1"/>
      <c r="J218" s="5">
        <f t="shared" ref="J218:J220" si="114">IF(H$12=0,0,H218/H$12)</f>
        <v>3.6150925812766612E-3</v>
      </c>
      <c r="K218" s="1"/>
      <c r="L218" s="1">
        <f t="shared" ref="L218:L220" si="115">+D218-H218</f>
        <v>1403.71</v>
      </c>
      <c r="M218" s="1"/>
      <c r="N218" s="5">
        <f t="shared" ref="N218:N220" si="116">IF(H218=0,0,L218/H218)</f>
        <v>1.1662304861128419</v>
      </c>
      <c r="O218" s="14"/>
      <c r="P218" s="1">
        <f>SUM(OSRRefP22_21x_0)</f>
        <v>8471.61</v>
      </c>
      <c r="Q218" s="1"/>
      <c r="R218" s="5">
        <f t="shared" ref="R218:R220" si="117">IF(P$12=0,0,P218/P$12)</f>
        <v>2.3475200177275847E-3</v>
      </c>
      <c r="S218" s="1"/>
      <c r="T218" s="1">
        <f>SUM(OSRRefT22_21x_0)</f>
        <v>11645.97</v>
      </c>
      <c r="U218" s="1"/>
      <c r="V218" s="5">
        <f t="shared" ref="V218:V220" si="118">IF(T$12=0,0,T218/T$12)</f>
        <v>3.3368281488304475E-3</v>
      </c>
      <c r="W218" s="1"/>
      <c r="X218" s="1">
        <f t="shared" ref="X218:X220" si="119">+P218-T218</f>
        <v>-3174.3599999999988</v>
      </c>
      <c r="Y218" s="1"/>
      <c r="Z218" s="5">
        <f t="shared" ref="Z218:Z220" si="120">IF(T218=0,0,X218/T218)</f>
        <v>-0.27257154191535776</v>
      </c>
    </row>
    <row r="219" spans="1:26" s="24" customFormat="1" hidden="1" outlineLevel="2" x14ac:dyDescent="0.25">
      <c r="A219" s="29"/>
      <c r="B219" s="11" t="str">
        <f>CONCATENATE("          ", "6303", " - ", "DATA PHONE LINES")</f>
        <v xml:space="preserve">          6303 - DATA PHONE LINES</v>
      </c>
      <c r="C219" s="11"/>
      <c r="D219" s="6"/>
      <c r="E219" s="2"/>
      <c r="F219" s="7">
        <f t="shared" si="113"/>
        <v>0</v>
      </c>
      <c r="G219" s="2"/>
      <c r="H219" s="6"/>
      <c r="I219" s="2"/>
      <c r="J219" s="7">
        <f t="shared" si="114"/>
        <v>0</v>
      </c>
      <c r="K219" s="2"/>
      <c r="L219" s="6">
        <f t="shared" si="115"/>
        <v>0</v>
      </c>
      <c r="M219" s="2"/>
      <c r="N219" s="7">
        <f t="shared" si="116"/>
        <v>0</v>
      </c>
      <c r="O219" s="11"/>
      <c r="P219" s="6">
        <v>295</v>
      </c>
      <c r="Q219" s="2"/>
      <c r="R219" s="7">
        <f t="shared" si="117"/>
        <v>8.1745784476579709E-5</v>
      </c>
      <c r="S219" s="2"/>
      <c r="T219" s="6">
        <v>1180</v>
      </c>
      <c r="U219" s="2"/>
      <c r="V219" s="7">
        <f t="shared" si="118"/>
        <v>3.3809611527592192E-4</v>
      </c>
      <c r="W219" s="2"/>
      <c r="X219" s="6">
        <f t="shared" si="119"/>
        <v>-885</v>
      </c>
      <c r="Y219" s="2"/>
      <c r="Z219" s="7">
        <f t="shared" si="120"/>
        <v>-0.75</v>
      </c>
    </row>
    <row r="220" spans="1:26" s="24" customFormat="1" hidden="1" outlineLevel="2" x14ac:dyDescent="0.25">
      <c r="A220" s="29"/>
      <c r="B220" s="11" t="str">
        <f>CONCATENATE("          ", "6309", " - ", "TELEPHONE")</f>
        <v xml:space="preserve">          6309 - TELEPHONE</v>
      </c>
      <c r="C220" s="11"/>
      <c r="D220" s="6">
        <v>2607.34</v>
      </c>
      <c r="E220" s="2"/>
      <c r="F220" s="7">
        <f t="shared" si="113"/>
        <v>3.8486791592740799E-3</v>
      </c>
      <c r="G220" s="2"/>
      <c r="H220" s="6">
        <v>1203.6300000000001</v>
      </c>
      <c r="I220" s="2"/>
      <c r="J220" s="7">
        <f t="shared" si="114"/>
        <v>3.6150925812766612E-3</v>
      </c>
      <c r="K220" s="2"/>
      <c r="L220" s="6">
        <f t="shared" si="115"/>
        <v>1403.71</v>
      </c>
      <c r="M220" s="2"/>
      <c r="N220" s="7">
        <f t="shared" si="116"/>
        <v>1.1662304861128419</v>
      </c>
      <c r="O220" s="11"/>
      <c r="P220" s="6">
        <v>8176.61</v>
      </c>
      <c r="Q220" s="2"/>
      <c r="R220" s="7">
        <f t="shared" si="117"/>
        <v>2.2657742332510048E-3</v>
      </c>
      <c r="S220" s="2"/>
      <c r="T220" s="6">
        <v>10465.969999999999</v>
      </c>
      <c r="U220" s="2"/>
      <c r="V220" s="7">
        <f t="shared" si="118"/>
        <v>2.9987320335545255E-3</v>
      </c>
      <c r="W220" s="2"/>
      <c r="X220" s="6">
        <f t="shared" si="119"/>
        <v>-2289.3599999999997</v>
      </c>
      <c r="Y220" s="2"/>
      <c r="Z220" s="7">
        <f t="shared" si="120"/>
        <v>-0.21874322208070535</v>
      </c>
    </row>
    <row r="221" spans="1:26" s="28" customFormat="1" outlineLevel="1" collapsed="1" x14ac:dyDescent="0.25">
      <c r="A221" s="27"/>
      <c r="B221" s="14" t="str">
        <f>CONCATENATE("     ","Training                                          ")</f>
        <v xml:space="preserve">     Training                                          </v>
      </c>
      <c r="C221" s="14"/>
      <c r="D221" s="1">
        <f>SUM(OSRRefD22_22x_0)</f>
        <v>0</v>
      </c>
      <c r="E221" s="1"/>
      <c r="F221" s="5">
        <f t="shared" ref="F221:F226" si="121">IF(D$12=0,0,D221/D$12)</f>
        <v>0</v>
      </c>
      <c r="G221" s="1"/>
      <c r="H221" s="1">
        <f>SUM(OSRRefH22_22x_0)</f>
        <v>114</v>
      </c>
      <c r="I221" s="1"/>
      <c r="J221" s="5">
        <f t="shared" ref="J221:J226" si="122">IF(H$12=0,0,H221/H$12)</f>
        <v>3.4239804114681371E-4</v>
      </c>
      <c r="K221" s="1"/>
      <c r="L221" s="1">
        <f t="shared" ref="L221:L226" si="123">+D221-H221</f>
        <v>-114</v>
      </c>
      <c r="M221" s="1"/>
      <c r="N221" s="5">
        <f t="shared" ref="N221:N226" si="124">IF(H221=0,0,L221/H221)</f>
        <v>-1</v>
      </c>
      <c r="O221" s="14"/>
      <c r="P221" s="1">
        <f>SUM(OSRRefP22_22x_0)</f>
        <v>595</v>
      </c>
      <c r="Q221" s="1"/>
      <c r="R221" s="5">
        <f t="shared" ref="R221:R226" si="125">IF(P$12=0,0,P221/P$12)</f>
        <v>1.648770907239489E-4</v>
      </c>
      <c r="S221" s="1"/>
      <c r="T221" s="1">
        <f>SUM(OSRRefT22_22x_0)</f>
        <v>245.63</v>
      </c>
      <c r="U221" s="1"/>
      <c r="V221" s="5">
        <f t="shared" ref="V221:V226" si="126">IF(T$12=0,0,T221/T$12)</f>
        <v>7.0378431182393809E-5</v>
      </c>
      <c r="W221" s="1"/>
      <c r="X221" s="1">
        <f t="shared" ref="X221:X226" si="127">+P221-T221</f>
        <v>349.37</v>
      </c>
      <c r="Y221" s="1"/>
      <c r="Z221" s="5">
        <f t="shared" ref="Z221:Z226" si="128">IF(T221=0,0,X221/T221)</f>
        <v>1.4223425477343974</v>
      </c>
    </row>
    <row r="222" spans="1:26" s="24" customFormat="1" hidden="1" outlineLevel="2" x14ac:dyDescent="0.25">
      <c r="A222" s="29"/>
      <c r="B222" s="11" t="str">
        <f>CONCATENATE("          ", "6376", " - ", "TRAINING")</f>
        <v xml:space="preserve">          6376 - TRAINING</v>
      </c>
      <c r="C222" s="11"/>
      <c r="D222" s="6"/>
      <c r="E222" s="2"/>
      <c r="F222" s="7">
        <f t="shared" si="121"/>
        <v>0</v>
      </c>
      <c r="G222" s="2"/>
      <c r="H222" s="6">
        <v>114</v>
      </c>
      <c r="I222" s="2"/>
      <c r="J222" s="7">
        <f t="shared" si="122"/>
        <v>3.4239804114681371E-4</v>
      </c>
      <c r="K222" s="2"/>
      <c r="L222" s="6">
        <f t="shared" si="123"/>
        <v>-114</v>
      </c>
      <c r="M222" s="2"/>
      <c r="N222" s="7">
        <f t="shared" si="124"/>
        <v>-1</v>
      </c>
      <c r="O222" s="11"/>
      <c r="P222" s="6">
        <v>595</v>
      </c>
      <c r="Q222" s="2"/>
      <c r="R222" s="7">
        <f t="shared" si="125"/>
        <v>1.648770907239489E-4</v>
      </c>
      <c r="S222" s="2"/>
      <c r="T222" s="6">
        <v>245.63</v>
      </c>
      <c r="U222" s="2"/>
      <c r="V222" s="7">
        <f t="shared" si="126"/>
        <v>7.0378431182393809E-5</v>
      </c>
      <c r="W222" s="2"/>
      <c r="X222" s="6">
        <f t="shared" si="127"/>
        <v>349.37</v>
      </c>
      <c r="Y222" s="2"/>
      <c r="Z222" s="7">
        <f t="shared" si="128"/>
        <v>1.4223425477343974</v>
      </c>
    </row>
    <row r="223" spans="1:26" s="28" customFormat="1" outlineLevel="1" collapsed="1" x14ac:dyDescent="0.25">
      <c r="A223" s="27"/>
      <c r="B223" s="14" t="str">
        <f>CONCATENATE("     ","Travel                                            ")</f>
        <v xml:space="preserve">     Travel                                            </v>
      </c>
      <c r="C223" s="14"/>
      <c r="D223" s="1">
        <f>SUM(OSRRefD22_23x_0)</f>
        <v>50</v>
      </c>
      <c r="E223" s="1"/>
      <c r="F223" s="5">
        <f t="shared" si="121"/>
        <v>7.3804704397471748E-5</v>
      </c>
      <c r="G223" s="1"/>
      <c r="H223" s="1">
        <f>SUM(OSRRefH22_23x_0)</f>
        <v>80.959999999999994</v>
      </c>
      <c r="I223" s="1"/>
      <c r="J223" s="5">
        <f t="shared" si="122"/>
        <v>2.4316267904601785E-4</v>
      </c>
      <c r="K223" s="1"/>
      <c r="L223" s="1">
        <f t="shared" si="123"/>
        <v>-30.959999999999994</v>
      </c>
      <c r="M223" s="1"/>
      <c r="N223" s="5">
        <f t="shared" si="124"/>
        <v>-0.38241106719367585</v>
      </c>
      <c r="O223" s="14"/>
      <c r="P223" s="1">
        <f>SUM(OSRRefP22_23x_0)</f>
        <v>760.53</v>
      </c>
      <c r="Q223" s="1"/>
      <c r="R223" s="5">
        <f t="shared" si="125"/>
        <v>2.1074617446770565E-4</v>
      </c>
      <c r="S223" s="1"/>
      <c r="T223" s="1">
        <f>SUM(OSRRefT22_23x_0)</f>
        <v>381.93</v>
      </c>
      <c r="U223" s="1"/>
      <c r="V223" s="5">
        <f t="shared" si="126"/>
        <v>1.0943139771807869E-4</v>
      </c>
      <c r="W223" s="1"/>
      <c r="X223" s="1">
        <f t="shared" si="127"/>
        <v>378.59999999999997</v>
      </c>
      <c r="Y223" s="1"/>
      <c r="Z223" s="5">
        <f t="shared" si="128"/>
        <v>0.99128112481344743</v>
      </c>
    </row>
    <row r="224" spans="1:26" s="24" customFormat="1" hidden="1" outlineLevel="2" x14ac:dyDescent="0.25">
      <c r="A224" s="29"/>
      <c r="B224" s="11" t="str">
        <f>CONCATENATE("          ", "6292", " - ", "TRAVEL/CONFERENCE")</f>
        <v xml:space="preserve">          6292 - TRAVEL/CONFERENCE</v>
      </c>
      <c r="C224" s="11"/>
      <c r="D224" s="6"/>
      <c r="E224" s="2"/>
      <c r="F224" s="7">
        <f t="shared" si="121"/>
        <v>0</v>
      </c>
      <c r="G224" s="2"/>
      <c r="H224" s="6"/>
      <c r="I224" s="2"/>
      <c r="J224" s="7">
        <f t="shared" si="122"/>
        <v>0</v>
      </c>
      <c r="K224" s="2"/>
      <c r="L224" s="6">
        <f t="shared" si="123"/>
        <v>0</v>
      </c>
      <c r="M224" s="2"/>
      <c r="N224" s="7">
        <f t="shared" si="124"/>
        <v>0</v>
      </c>
      <c r="O224" s="11"/>
      <c r="P224" s="6">
        <v>495</v>
      </c>
      <c r="Q224" s="2"/>
      <c r="R224" s="7">
        <f t="shared" si="125"/>
        <v>1.3716665530815917E-4</v>
      </c>
      <c r="S224" s="2"/>
      <c r="T224" s="6">
        <v>0.16</v>
      </c>
      <c r="U224" s="2"/>
      <c r="V224" s="7">
        <f t="shared" si="126"/>
        <v>4.5843541054362296E-8</v>
      </c>
      <c r="W224" s="2"/>
      <c r="X224" s="6">
        <f t="shared" si="127"/>
        <v>494.84</v>
      </c>
      <c r="Y224" s="2"/>
      <c r="Z224" s="7">
        <f t="shared" si="128"/>
        <v>3092.75</v>
      </c>
    </row>
    <row r="225" spans="1:26" s="24" customFormat="1" hidden="1" outlineLevel="2" x14ac:dyDescent="0.25">
      <c r="A225" s="29"/>
      <c r="B225" s="11" t="str">
        <f>CONCATENATE("          ", "6294", " - ", "TRAVEL OPERATIONAL")</f>
        <v xml:space="preserve">          6294 - TRAVEL OPERATIONAL</v>
      </c>
      <c r="C225" s="11"/>
      <c r="D225" s="6"/>
      <c r="E225" s="2"/>
      <c r="F225" s="7">
        <f t="shared" si="121"/>
        <v>0</v>
      </c>
      <c r="G225" s="2"/>
      <c r="H225" s="6">
        <v>80.959999999999994</v>
      </c>
      <c r="I225" s="2"/>
      <c r="J225" s="7">
        <f t="shared" si="122"/>
        <v>2.4316267904601785E-4</v>
      </c>
      <c r="K225" s="2"/>
      <c r="L225" s="6">
        <f t="shared" si="123"/>
        <v>-80.959999999999994</v>
      </c>
      <c r="M225" s="2"/>
      <c r="N225" s="7">
        <f t="shared" si="124"/>
        <v>-1</v>
      </c>
      <c r="O225" s="11"/>
      <c r="P225" s="6">
        <v>215.53</v>
      </c>
      <c r="Q225" s="2"/>
      <c r="R225" s="7">
        <f t="shared" si="125"/>
        <v>5.9724301451651611E-5</v>
      </c>
      <c r="S225" s="2"/>
      <c r="T225" s="6">
        <v>321.88</v>
      </c>
      <c r="U225" s="2"/>
      <c r="V225" s="7">
        <f t="shared" si="126"/>
        <v>9.2225743716113344E-5</v>
      </c>
      <c r="W225" s="2"/>
      <c r="X225" s="6">
        <f t="shared" si="127"/>
        <v>-106.35</v>
      </c>
      <c r="Y225" s="2"/>
      <c r="Z225" s="7">
        <f t="shared" si="128"/>
        <v>-0.33040263452218216</v>
      </c>
    </row>
    <row r="226" spans="1:26" s="24" customFormat="1" hidden="1" outlineLevel="2" x14ac:dyDescent="0.25">
      <c r="A226" s="29"/>
      <c r="B226" s="11" t="str">
        <f>CONCATENATE("          ", "6298", " - ", "VEHICLE MILEAGE")</f>
        <v xml:space="preserve">          6298 - VEHICLE MILEAGE</v>
      </c>
      <c r="C226" s="11"/>
      <c r="D226" s="6">
        <v>50</v>
      </c>
      <c r="E226" s="2"/>
      <c r="F226" s="7">
        <f t="shared" si="121"/>
        <v>7.3804704397471748E-5</v>
      </c>
      <c r="G226" s="2"/>
      <c r="H226" s="6"/>
      <c r="I226" s="2"/>
      <c r="J226" s="7">
        <f t="shared" si="122"/>
        <v>0</v>
      </c>
      <c r="K226" s="2"/>
      <c r="L226" s="6">
        <f t="shared" si="123"/>
        <v>50</v>
      </c>
      <c r="M226" s="2"/>
      <c r="N226" s="7">
        <f t="shared" si="124"/>
        <v>0</v>
      </c>
      <c r="O226" s="11"/>
      <c r="P226" s="6">
        <v>50</v>
      </c>
      <c r="Q226" s="2"/>
      <c r="R226" s="7">
        <f t="shared" si="125"/>
        <v>1.3855217707894867E-5</v>
      </c>
      <c r="S226" s="2"/>
      <c r="T226" s="6">
        <v>59.89</v>
      </c>
      <c r="U226" s="2"/>
      <c r="V226" s="7">
        <f t="shared" si="126"/>
        <v>1.7159810460910985E-5</v>
      </c>
      <c r="W226" s="2"/>
      <c r="X226" s="6">
        <f t="shared" si="127"/>
        <v>-9.89</v>
      </c>
      <c r="Y226" s="2"/>
      <c r="Z226" s="7">
        <f t="shared" si="128"/>
        <v>-0.16513608281850059</v>
      </c>
    </row>
    <row r="227" spans="1:26" s="28" customFormat="1" outlineLevel="1" collapsed="1" x14ac:dyDescent="0.25">
      <c r="A227" s="27"/>
      <c r="B227" s="14" t="str">
        <f>CONCATENATE("     ","Utilities                                         ")</f>
        <v xml:space="preserve">     Utilities                                         </v>
      </c>
      <c r="C227" s="14"/>
      <c r="D227" s="1">
        <f>SUM(OSRRefD22_24x_0)</f>
        <v>6038.6</v>
      </c>
      <c r="E227" s="1"/>
      <c r="F227" s="5">
        <f t="shared" ref="F227:F228" si="129">IF(D$12=0,0,D227/D$12)</f>
        <v>8.9135417594914581E-3</v>
      </c>
      <c r="G227" s="1"/>
      <c r="H227" s="1">
        <f>SUM(OSRRefH22_24x_0)</f>
        <v>5953.05</v>
      </c>
      <c r="I227" s="1"/>
      <c r="J227" s="5">
        <f t="shared" ref="J227:J228" si="130">IF(H$12=0,0,H227/H$12)</f>
        <v>1.787993560393894E-2</v>
      </c>
      <c r="K227" s="1"/>
      <c r="L227" s="1">
        <f t="shared" ref="L227:L228" si="131">+D227-H227</f>
        <v>85.550000000000182</v>
      </c>
      <c r="M227" s="1"/>
      <c r="N227" s="5">
        <f t="shared" ref="N227:N228" si="132">IF(H227=0,0,L227/H227)</f>
        <v>1.4370784723797075E-2</v>
      </c>
      <c r="O227" s="14"/>
      <c r="P227" s="1">
        <f>SUM(OSRRefP22_24x_0)</f>
        <v>24149.98</v>
      </c>
      <c r="Q227" s="1"/>
      <c r="R227" s="5">
        <f t="shared" ref="R227:R228" si="133">IF(P$12=0,0,P227/P$12)</f>
        <v>6.6920646108261372E-3</v>
      </c>
      <c r="S227" s="1"/>
      <c r="T227" s="1">
        <f>SUM(OSRRefT22_24x_0)</f>
        <v>24435.43</v>
      </c>
      <c r="U227" s="1"/>
      <c r="V227" s="5">
        <f t="shared" ref="V227:V228" si="134">IF(T$12=0,0,T227/T$12)</f>
        <v>7.0012914899124749E-3</v>
      </c>
      <c r="W227" s="1"/>
      <c r="X227" s="1">
        <f t="shared" ref="X227:X228" si="135">+P227-T227</f>
        <v>-285.45000000000073</v>
      </c>
      <c r="Y227" s="1"/>
      <c r="Z227" s="5">
        <f t="shared" ref="Z227:Z228" si="136">IF(T227=0,0,X227/T227)</f>
        <v>-1.1681807932170652E-2</v>
      </c>
    </row>
    <row r="228" spans="1:26" s="24" customFormat="1" hidden="1" outlineLevel="2" x14ac:dyDescent="0.25">
      <c r="A228" s="29"/>
      <c r="B228" s="11" t="str">
        <f>CONCATENATE("          ", "6274", " - ", "UTILITIES")</f>
        <v xml:space="preserve">          6274 - UTILITIES</v>
      </c>
      <c r="C228" s="11"/>
      <c r="D228" s="6">
        <v>6038.6</v>
      </c>
      <c r="E228" s="2"/>
      <c r="F228" s="7">
        <f t="shared" si="129"/>
        <v>8.9135417594914581E-3</v>
      </c>
      <c r="G228" s="2"/>
      <c r="H228" s="6">
        <v>5953.05</v>
      </c>
      <c r="I228" s="2"/>
      <c r="J228" s="7">
        <f t="shared" si="130"/>
        <v>1.787993560393894E-2</v>
      </c>
      <c r="K228" s="2"/>
      <c r="L228" s="6">
        <f t="shared" si="131"/>
        <v>85.550000000000182</v>
      </c>
      <c r="M228" s="2"/>
      <c r="N228" s="7">
        <f t="shared" si="132"/>
        <v>1.4370784723797075E-2</v>
      </c>
      <c r="O228" s="11"/>
      <c r="P228" s="6">
        <v>24149.98</v>
      </c>
      <c r="Q228" s="2"/>
      <c r="R228" s="7">
        <f t="shared" si="133"/>
        <v>6.6920646108261372E-3</v>
      </c>
      <c r="S228" s="2"/>
      <c r="T228" s="6">
        <v>24435.43</v>
      </c>
      <c r="U228" s="2"/>
      <c r="V228" s="7">
        <f t="shared" si="134"/>
        <v>7.0012914899124749E-3</v>
      </c>
      <c r="W228" s="2"/>
      <c r="X228" s="6">
        <f t="shared" si="135"/>
        <v>-285.45000000000073</v>
      </c>
      <c r="Y228" s="2"/>
      <c r="Z228" s="7">
        <f t="shared" si="136"/>
        <v>-1.1681807932170652E-2</v>
      </c>
    </row>
    <row r="229" spans="1:26" s="56" customFormat="1" x14ac:dyDescent="0.25">
      <c r="A229" s="37"/>
      <c r="B229" s="37"/>
      <c r="C229" s="37"/>
      <c r="D229" s="1"/>
      <c r="E229" s="1"/>
      <c r="F229" s="5"/>
      <c r="G229" s="1"/>
      <c r="H229" s="1"/>
      <c r="I229" s="1"/>
      <c r="J229" s="5"/>
      <c r="K229" s="1"/>
      <c r="L229" s="1"/>
      <c r="M229" s="1"/>
      <c r="N229" s="5"/>
      <c r="O229" s="37"/>
      <c r="P229" s="1"/>
      <c r="Q229" s="1"/>
      <c r="R229" s="5"/>
      <c r="S229" s="1"/>
      <c r="T229" s="1"/>
      <c r="U229" s="1"/>
      <c r="V229" s="5"/>
      <c r="W229" s="1"/>
      <c r="X229" s="1"/>
      <c r="Y229" s="1"/>
      <c r="Z229" s="5"/>
    </row>
    <row r="230" spans="1:26" s="23" customFormat="1" collapsed="1" x14ac:dyDescent="0.25">
      <c r="A230" s="10"/>
      <c r="B230" s="25" t="s">
        <v>292</v>
      </c>
      <c r="C230" s="10"/>
      <c r="D230" s="4">
        <f>SUM(OSRRefD25x_0)</f>
        <v>37823.509999999995</v>
      </c>
      <c r="E230" s="4"/>
      <c r="F230" s="12">
        <f t="shared" ref="F230:F236" si="137">IF(D$12=0,0,D230/D$12)</f>
        <v>5.5831059496496319E-2</v>
      </c>
      <c r="G230" s="4"/>
      <c r="H230" s="4">
        <f>SUM(OSRRefH25x_0)</f>
        <v>31945.740000000005</v>
      </c>
      <c r="I230" s="4"/>
      <c r="J230" s="12">
        <f t="shared" ref="J230:J236" si="138">IF(H$12=0,0,H230/H$12)</f>
        <v>9.5948761394608895E-2</v>
      </c>
      <c r="K230" s="4"/>
      <c r="L230" s="4">
        <f t="shared" ref="L230:L236" si="139">+D230-H230</f>
        <v>5877.7699999999895</v>
      </c>
      <c r="M230" s="4"/>
      <c r="N230" s="12">
        <f t="shared" ref="N230:N236" si="140">IF(H230=0,0,L230/H230)</f>
        <v>0.18399229443424972</v>
      </c>
      <c r="O230" s="10"/>
      <c r="P230" s="4">
        <f>SUM(OSRRefP25x_0)</f>
        <v>403446.23</v>
      </c>
      <c r="Q230" s="4"/>
      <c r="R230" s="12">
        <f t="shared" ref="R230:R236" si="141">IF(P$12=0,0,P230/P$12)</f>
        <v>0.1117967070015885</v>
      </c>
      <c r="S230" s="4"/>
      <c r="T230" s="4">
        <f>SUM(OSRRefT25x_0)</f>
        <v>453118.66000000003</v>
      </c>
      <c r="U230" s="4"/>
      <c r="V230" s="12">
        <f t="shared" ref="V230:V236" si="142">IF(T$12=0,0,T230/T$12)</f>
        <v>0.12982852432629768</v>
      </c>
      <c r="W230" s="4"/>
      <c r="X230" s="4">
        <f t="shared" ref="X230:X236" si="143">+P230-T230</f>
        <v>-49672.430000000051</v>
      </c>
      <c r="Y230" s="4"/>
      <c r="Z230" s="12">
        <f t="shared" ref="Z230:Z236" si="144">IF(T230=0,0,X230/T230)</f>
        <v>-0.10962344830380644</v>
      </c>
    </row>
    <row r="231" spans="1:26" s="24" customFormat="1" hidden="1" outlineLevel="1" x14ac:dyDescent="0.25">
      <c r="A231" s="44"/>
      <c r="B231" s="11" t="str">
        <f>CONCATENATE("          ", "4187", " - ", "NON-TAXABLE SALES-COMPUTER REP")</f>
        <v xml:space="preserve">          4187 - NON-TAXABLE SALES-COMPUTER REP</v>
      </c>
      <c r="C231" s="11"/>
      <c r="D231" s="2">
        <f>0</f>
        <v>0</v>
      </c>
      <c r="E231" s="2"/>
      <c r="F231" s="19">
        <f t="shared" si="137"/>
        <v>0</v>
      </c>
      <c r="G231" s="2"/>
      <c r="H231" s="2">
        <f>--792.83</f>
        <v>792.83</v>
      </c>
      <c r="I231" s="2"/>
      <c r="J231" s="19">
        <f t="shared" si="138"/>
        <v>2.381258236512529E-3</v>
      </c>
      <c r="K231" s="2"/>
      <c r="L231" s="2">
        <f t="shared" si="139"/>
        <v>-792.83</v>
      </c>
      <c r="M231" s="2"/>
      <c r="N231" s="19">
        <f t="shared" si="140"/>
        <v>-1</v>
      </c>
      <c r="O231" s="11"/>
      <c r="P231" s="2">
        <f>0</f>
        <v>0</v>
      </c>
      <c r="Q231" s="2"/>
      <c r="R231" s="19">
        <f t="shared" si="141"/>
        <v>0</v>
      </c>
      <c r="S231" s="2"/>
      <c r="T231" s="2">
        <f>--937.96</f>
        <v>937.96</v>
      </c>
      <c r="U231" s="2"/>
      <c r="V231" s="19">
        <f t="shared" si="142"/>
        <v>2.6874629854593536E-4</v>
      </c>
      <c r="W231" s="2"/>
      <c r="X231" s="2">
        <f t="shared" si="143"/>
        <v>-937.96</v>
      </c>
      <c r="Y231" s="2"/>
      <c r="Z231" s="19">
        <f t="shared" si="144"/>
        <v>-1</v>
      </c>
    </row>
    <row r="232" spans="1:26" s="24" customFormat="1" hidden="1" outlineLevel="1" x14ac:dyDescent="0.25">
      <c r="A232" s="44"/>
      <c r="B232" s="11" t="str">
        <f>CONCATENATE("          ", "9087", " - ", "")</f>
        <v xml:space="preserve">          9087 - </v>
      </c>
      <c r="C232" s="11"/>
      <c r="D232" s="2">
        <f>-830.04</f>
        <v>-830.04</v>
      </c>
      <c r="E232" s="2"/>
      <c r="F232" s="19">
        <f t="shared" si="137"/>
        <v>-1.2252171367615489E-3</v>
      </c>
      <c r="G232" s="2"/>
      <c r="H232" s="2">
        <f>0</f>
        <v>0</v>
      </c>
      <c r="I232" s="2"/>
      <c r="J232" s="19">
        <f t="shared" si="138"/>
        <v>0</v>
      </c>
      <c r="K232" s="2"/>
      <c r="L232" s="2">
        <f t="shared" si="139"/>
        <v>-830.04</v>
      </c>
      <c r="M232" s="2"/>
      <c r="N232" s="19">
        <f t="shared" si="140"/>
        <v>0</v>
      </c>
      <c r="O232" s="11"/>
      <c r="P232" s="2">
        <f>-466.39</f>
        <v>-466.39</v>
      </c>
      <c r="Q232" s="2"/>
      <c r="R232" s="19">
        <f t="shared" si="141"/>
        <v>-1.2923869973570173E-4</v>
      </c>
      <c r="S232" s="2"/>
      <c r="T232" s="2">
        <f>0</f>
        <v>0</v>
      </c>
      <c r="U232" s="2"/>
      <c r="V232" s="19">
        <f t="shared" si="142"/>
        <v>0</v>
      </c>
      <c r="W232" s="2"/>
      <c r="X232" s="2">
        <f t="shared" si="143"/>
        <v>-466.39</v>
      </c>
      <c r="Y232" s="2"/>
      <c r="Z232" s="19">
        <f t="shared" si="144"/>
        <v>0</v>
      </c>
    </row>
    <row r="233" spans="1:26" s="24" customFormat="1" hidden="1" outlineLevel="1" x14ac:dyDescent="0.25">
      <c r="A233" s="44"/>
      <c r="B233" s="11" t="str">
        <f>CONCATENATE("          ", "9150", " - ", "MISC. INCOME")</f>
        <v xml:space="preserve">          9150 - MISC. INCOME</v>
      </c>
      <c r="C233" s="11"/>
      <c r="D233" s="2">
        <f>--28659.29</f>
        <v>28659.29</v>
      </c>
      <c r="E233" s="2"/>
      <c r="F233" s="19">
        <f t="shared" si="137"/>
        <v>4.2303808533828362E-2</v>
      </c>
      <c r="G233" s="2"/>
      <c r="H233" s="2">
        <f>--30890.83</f>
        <v>30890.83</v>
      </c>
      <c r="I233" s="2"/>
      <c r="J233" s="19">
        <f t="shared" si="138"/>
        <v>9.2780348082449365E-2</v>
      </c>
      <c r="K233" s="2"/>
      <c r="L233" s="2">
        <f t="shared" si="139"/>
        <v>-2231.5400000000009</v>
      </c>
      <c r="M233" s="2"/>
      <c r="N233" s="19">
        <f t="shared" si="140"/>
        <v>-7.2239561060677249E-2</v>
      </c>
      <c r="O233" s="11"/>
      <c r="P233" s="2">
        <f>--160505.65</f>
        <v>160505.65</v>
      </c>
      <c r="Q233" s="2"/>
      <c r="R233" s="19">
        <f t="shared" si="141"/>
        <v>4.4476814481943509E-2</v>
      </c>
      <c r="S233" s="2"/>
      <c r="T233" s="2">
        <f>--141880.39</f>
        <v>141880.39000000001</v>
      </c>
      <c r="U233" s="2"/>
      <c r="V233" s="19">
        <f t="shared" si="142"/>
        <v>4.0651871773587089E-2</v>
      </c>
      <c r="W233" s="2"/>
      <c r="X233" s="2">
        <f t="shared" si="143"/>
        <v>18625.25999999998</v>
      </c>
      <c r="Y233" s="2"/>
      <c r="Z233" s="19">
        <f t="shared" si="144"/>
        <v>0.13127437836899081</v>
      </c>
    </row>
    <row r="234" spans="1:26" s="24" customFormat="1" hidden="1" outlineLevel="1" x14ac:dyDescent="0.25">
      <c r="A234" s="44"/>
      <c r="B234" s="11" t="str">
        <f>CONCATENATE("          ", "9151", " - ", "MISC. INCOME")</f>
        <v xml:space="preserve">          9151 - MISC. INCOME</v>
      </c>
      <c r="C234" s="11"/>
      <c r="D234" s="2">
        <f>0</f>
        <v>0</v>
      </c>
      <c r="E234" s="2"/>
      <c r="F234" s="19">
        <f t="shared" si="137"/>
        <v>0</v>
      </c>
      <c r="G234" s="2"/>
      <c r="H234" s="2">
        <f>0</f>
        <v>0</v>
      </c>
      <c r="I234" s="2"/>
      <c r="J234" s="19">
        <f t="shared" si="138"/>
        <v>0</v>
      </c>
      <c r="K234" s="2"/>
      <c r="L234" s="2">
        <f t="shared" si="139"/>
        <v>0</v>
      </c>
      <c r="M234" s="2"/>
      <c r="N234" s="19">
        <f t="shared" si="140"/>
        <v>0</v>
      </c>
      <c r="O234" s="11"/>
      <c r="P234" s="2">
        <f>--168463.36</f>
        <v>168463.35999999999</v>
      </c>
      <c r="Q234" s="2"/>
      <c r="R234" s="19">
        <f t="shared" si="141"/>
        <v>4.6681930572069354E-2</v>
      </c>
      <c r="S234" s="2"/>
      <c r="T234" s="2">
        <f>--147285.39</f>
        <v>147285.39000000001</v>
      </c>
      <c r="U234" s="2"/>
      <c r="V234" s="19">
        <f t="shared" si="142"/>
        <v>4.2200523894829763E-2</v>
      </c>
      <c r="W234" s="2"/>
      <c r="X234" s="2">
        <f t="shared" si="143"/>
        <v>21177.969999999972</v>
      </c>
      <c r="Y234" s="2"/>
      <c r="Z234" s="19">
        <f t="shared" si="144"/>
        <v>0.14378866770152809</v>
      </c>
    </row>
    <row r="235" spans="1:26" s="24" customFormat="1" hidden="1" outlineLevel="1" x14ac:dyDescent="0.25">
      <c r="A235" s="44"/>
      <c r="B235" s="11" t="str">
        <f>CONCATENATE("          ", "9152", " - ", "MISC. INCOME")</f>
        <v xml:space="preserve">          9152 - MISC. INCOME</v>
      </c>
      <c r="C235" s="11"/>
      <c r="D235" s="2">
        <f>--257.3</f>
        <v>257.3</v>
      </c>
      <c r="E235" s="2"/>
      <c r="F235" s="19">
        <f t="shared" si="137"/>
        <v>3.7979900882938959E-4</v>
      </c>
      <c r="G235" s="2"/>
      <c r="H235" s="2">
        <f>--262.08</f>
        <v>262.08</v>
      </c>
      <c r="I235" s="2"/>
      <c r="J235" s="19">
        <f t="shared" si="138"/>
        <v>7.8715507564699062E-4</v>
      </c>
      <c r="K235" s="2"/>
      <c r="L235" s="2">
        <f t="shared" si="139"/>
        <v>-4.7799999999999727</v>
      </c>
      <c r="M235" s="2"/>
      <c r="N235" s="19">
        <f t="shared" si="140"/>
        <v>-1.8238705738705636E-2</v>
      </c>
      <c r="O235" s="11"/>
      <c r="P235" s="2">
        <f>--2195.41</f>
        <v>2195.41</v>
      </c>
      <c r="Q235" s="2"/>
      <c r="R235" s="19">
        <f t="shared" si="141"/>
        <v>6.0835767016178936E-4</v>
      </c>
      <c r="S235" s="2"/>
      <c r="T235" s="2">
        <f>--2351.02</f>
        <v>2351.02</v>
      </c>
      <c r="U235" s="2"/>
      <c r="V235" s="19">
        <f t="shared" si="142"/>
        <v>6.7361926181016771E-4</v>
      </c>
      <c r="W235" s="2"/>
      <c r="X235" s="2">
        <f t="shared" si="143"/>
        <v>-155.61000000000013</v>
      </c>
      <c r="Y235" s="2"/>
      <c r="Z235" s="19">
        <f t="shared" si="144"/>
        <v>-6.61882927410231E-2</v>
      </c>
    </row>
    <row r="236" spans="1:26" s="24" customFormat="1" hidden="1" outlineLevel="1" x14ac:dyDescent="0.25">
      <c r="A236" s="44"/>
      <c r="B236" s="11" t="str">
        <f>CONCATENATE("          ", "9163", " - ", "MISC. INCOME")</f>
        <v xml:space="preserve">          9163 - MISC. INCOME</v>
      </c>
      <c r="C236" s="11"/>
      <c r="D236" s="2">
        <f>--9736.96</f>
        <v>9736.9599999999991</v>
      </c>
      <c r="E236" s="2"/>
      <c r="F236" s="19">
        <f t="shared" si="137"/>
        <v>1.4372669090600127E-2</v>
      </c>
      <c r="G236" s="2"/>
      <c r="H236" s="2">
        <f>0</f>
        <v>0</v>
      </c>
      <c r="I236" s="2"/>
      <c r="J236" s="19">
        <f t="shared" si="138"/>
        <v>0</v>
      </c>
      <c r="K236" s="2"/>
      <c r="L236" s="2">
        <f t="shared" si="139"/>
        <v>9736.9599999999991</v>
      </c>
      <c r="M236" s="2"/>
      <c r="N236" s="19">
        <f t="shared" si="140"/>
        <v>0</v>
      </c>
      <c r="O236" s="11"/>
      <c r="P236" s="2">
        <f>--72748.2</f>
        <v>72748.2</v>
      </c>
      <c r="Q236" s="2"/>
      <c r="R236" s="19">
        <f t="shared" si="141"/>
        <v>2.0158842977149545E-2</v>
      </c>
      <c r="S236" s="2"/>
      <c r="T236" s="2">
        <f>--160663.9</f>
        <v>160663.9</v>
      </c>
      <c r="U236" s="2"/>
      <c r="V236" s="19">
        <f t="shared" si="142"/>
        <v>4.6033763097524737E-2</v>
      </c>
      <c r="W236" s="2"/>
      <c r="X236" s="2">
        <f t="shared" si="143"/>
        <v>-87915.7</v>
      </c>
      <c r="Y236" s="2"/>
      <c r="Z236" s="19">
        <f t="shared" si="144"/>
        <v>-0.54720257630992397</v>
      </c>
    </row>
    <row r="237" spans="1:26" x14ac:dyDescent="0.25">
      <c r="A237" s="9"/>
      <c r="B237" s="10"/>
      <c r="C237" s="10"/>
      <c r="D237" s="3"/>
      <c r="E237" s="3"/>
      <c r="F237" s="8"/>
      <c r="G237" s="3"/>
      <c r="H237" s="3"/>
      <c r="I237" s="3"/>
      <c r="J237" s="8"/>
      <c r="K237" s="3"/>
      <c r="L237" s="3"/>
      <c r="M237" s="3"/>
      <c r="N237" s="8"/>
      <c r="O237" s="10"/>
      <c r="P237" s="3"/>
      <c r="Q237" s="3"/>
      <c r="R237" s="8"/>
      <c r="S237" s="3"/>
      <c r="T237" s="3"/>
      <c r="U237" s="3"/>
      <c r="V237" s="8"/>
      <c r="W237" s="3"/>
      <c r="X237" s="3"/>
      <c r="Y237" s="3"/>
      <c r="Z237" s="8"/>
    </row>
    <row r="238" spans="1:26" s="23" customFormat="1" x14ac:dyDescent="0.25">
      <c r="A238" s="10"/>
      <c r="B238" s="26" t="s">
        <v>276</v>
      </c>
      <c r="C238" s="26"/>
      <c r="D238" s="22">
        <f>+D139-D141+D230</f>
        <v>-70795.59000000004</v>
      </c>
      <c r="E238" s="13"/>
      <c r="F238" s="20">
        <f>IF(D$12=0,0,D238/D$12)</f>
        <v>-0.10450095185189219</v>
      </c>
      <c r="G238" s="13"/>
      <c r="H238" s="22">
        <f>+H139-H141+H230</f>
        <v>-213918.01000000018</v>
      </c>
      <c r="I238" s="13"/>
      <c r="J238" s="20">
        <f>IF(H$12=0,0,H238/H$12)</f>
        <v>-0.64250094377214528</v>
      </c>
      <c r="K238" s="15"/>
      <c r="L238" s="22">
        <f>+D238-H238</f>
        <v>143122.42000000016</v>
      </c>
      <c r="M238" s="15"/>
      <c r="N238" s="20">
        <f>IF(H238=0,0,L238/H238)</f>
        <v>-0.66905268986000777</v>
      </c>
      <c r="O238" s="25"/>
      <c r="P238" s="22">
        <f>+P139-P141+P230</f>
        <v>191231.03000000049</v>
      </c>
      <c r="Q238" s="13"/>
      <c r="R238" s="20">
        <f>IF(P$12=0,0,P238/P$12)</f>
        <v>5.2990951063099624E-2</v>
      </c>
      <c r="S238" s="13"/>
      <c r="T238" s="22">
        <f>+T139-T141+T230</f>
        <v>144399.59999999998</v>
      </c>
      <c r="U238" s="13"/>
      <c r="V238" s="20">
        <f>IF(T$12=0,0,T238/T$12)</f>
        <v>4.1373681192709323E-2</v>
      </c>
      <c r="W238" s="15"/>
      <c r="X238" s="22">
        <f>+P238-T238</f>
        <v>46831.430000000517</v>
      </c>
      <c r="Y238" s="15"/>
      <c r="Z238" s="20">
        <f>IF(T238=0,0,X238/T238)</f>
        <v>0.32431828066006085</v>
      </c>
    </row>
    <row r="239" spans="1:26" x14ac:dyDescent="0.25">
      <c r="A239" s="9"/>
      <c r="B239" s="10"/>
      <c r="C239" s="9"/>
      <c r="D239" s="3"/>
      <c r="E239" s="3"/>
      <c r="F239" s="8"/>
      <c r="G239" s="3"/>
      <c r="H239" s="3"/>
      <c r="I239" s="3"/>
      <c r="J239" s="8"/>
      <c r="K239" s="3"/>
      <c r="L239" s="3"/>
      <c r="M239" s="3"/>
      <c r="N239" s="8"/>
      <c r="P239" s="3"/>
      <c r="Q239" s="3"/>
      <c r="R239" s="8"/>
      <c r="S239" s="3"/>
      <c r="T239" s="3"/>
      <c r="U239" s="3"/>
      <c r="V239" s="8"/>
      <c r="W239" s="3"/>
      <c r="X239" s="3"/>
      <c r="Y239" s="3"/>
      <c r="Z239" s="8"/>
    </row>
    <row r="240" spans="1:26" s="23" customFormat="1" x14ac:dyDescent="0.25">
      <c r="A240" s="51"/>
      <c r="B240" s="10" t="s">
        <v>127</v>
      </c>
      <c r="C240" s="10"/>
      <c r="D240" s="4">
        <v>54319.89</v>
      </c>
      <c r="E240" s="4"/>
      <c r="F240" s="12">
        <f>IF(D$12=0,0,D240/D$12)</f>
        <v>8.0181268487063626E-2</v>
      </c>
      <c r="G240" s="4"/>
      <c r="H240" s="4">
        <v>171153.26</v>
      </c>
      <c r="I240" s="4"/>
      <c r="J240" s="12">
        <f>IF(H$12=0,0,H240/H$12)</f>
        <v>0.51405737684115183</v>
      </c>
      <c r="K240" s="4"/>
      <c r="L240" s="4">
        <f>+D240-H240</f>
        <v>-116833.37000000001</v>
      </c>
      <c r="M240" s="4"/>
      <c r="N240" s="12">
        <f>IF(H240=0,0,L240/H240)</f>
        <v>-0.68262427487504473</v>
      </c>
      <c r="O240" s="10"/>
      <c r="P240" s="4">
        <v>417141.55</v>
      </c>
      <c r="Q240" s="4"/>
      <c r="R240" s="12">
        <f>IF(P$12=0,0,P240/P$12)</f>
        <v>0.11559173980517423</v>
      </c>
      <c r="S240" s="4"/>
      <c r="T240" s="4">
        <v>756037.71</v>
      </c>
      <c r="U240" s="4"/>
      <c r="V240" s="12">
        <f>IF(T$12=0,0,T240/T$12)</f>
        <v>0.21662153623144406</v>
      </c>
      <c r="W240" s="4"/>
      <c r="X240" s="4">
        <f>+P240-T240</f>
        <v>-338896.16</v>
      </c>
      <c r="Y240" s="4"/>
      <c r="Z240" s="12">
        <f>IF(T240=0,0,X240/T240)</f>
        <v>-0.44825298462956298</v>
      </c>
    </row>
    <row r="241" spans="1:26" x14ac:dyDescent="0.25">
      <c r="A241" s="9"/>
      <c r="B241" s="10"/>
      <c r="C241" s="10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O241" s="10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s="23" customFormat="1" ht="15.75" thickBot="1" x14ac:dyDescent="0.3">
      <c r="A242" s="10"/>
      <c r="B242" s="26" t="s">
        <v>125</v>
      </c>
      <c r="C242" s="26"/>
      <c r="D242" s="33">
        <f>+D238-D240</f>
        <v>-125115.48000000004</v>
      </c>
      <c r="E242" s="13"/>
      <c r="F242" s="31">
        <f>IF(D$12=0,0,D242/D$12)</f>
        <v>-0.18468222033895582</v>
      </c>
      <c r="G242" s="13"/>
      <c r="H242" s="33">
        <f>+H238-H240</f>
        <v>-385071.27000000019</v>
      </c>
      <c r="I242" s="13"/>
      <c r="J242" s="31">
        <f>IF(H$12=0,0,H242/H$12)</f>
        <v>-1.156558320613297</v>
      </c>
      <c r="K242" s="15"/>
      <c r="L242" s="33">
        <f>D242-H242</f>
        <v>259955.79000000015</v>
      </c>
      <c r="M242" s="15"/>
      <c r="N242" s="31">
        <f>IF(H242=0,0,L242/H242)</f>
        <v>-0.67508487454802857</v>
      </c>
      <c r="O242" s="25"/>
      <c r="P242" s="33">
        <f>+P238-P240</f>
        <v>-225910.51999999949</v>
      </c>
      <c r="Q242" s="13"/>
      <c r="R242" s="31">
        <f>IF(P$12=0,0,P242/P$12)</f>
        <v>-6.2600788742074615E-2</v>
      </c>
      <c r="S242" s="13"/>
      <c r="T242" s="33">
        <f>+T238-T240</f>
        <v>-611638.11</v>
      </c>
      <c r="U242" s="13"/>
      <c r="V242" s="31">
        <f>IF(T$12=0,0,T242/T$12)</f>
        <v>-0.17524785503873475</v>
      </c>
      <c r="W242" s="15"/>
      <c r="X242" s="33">
        <f>P242-T242</f>
        <v>385727.59000000049</v>
      </c>
      <c r="Y242" s="15"/>
      <c r="Z242" s="31">
        <f>IF(T242=0,0,X242/T242)</f>
        <v>-0.6306467561349316</v>
      </c>
    </row>
    <row r="243" spans="1:26" ht="15.75" thickTop="1" x14ac:dyDescent="0.25">
      <c r="A243" s="9"/>
      <c r="B243" s="9"/>
      <c r="C243" s="9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x14ac:dyDescent="0.25">
      <c r="A244" s="9"/>
      <c r="B244" s="9"/>
      <c r="C244" s="9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3" customFormat="1" ht="15.75" thickBot="1" x14ac:dyDescent="0.3">
      <c r="A245" s="10"/>
      <c r="B245" s="26" t="s">
        <v>293</v>
      </c>
      <c r="C245" s="26"/>
      <c r="D245" s="34">
        <f>SUM(D242:D244)</f>
        <v>-125115.48000000004</v>
      </c>
      <c r="E245" s="13"/>
      <c r="F245" s="30">
        <f>IF(D$12=0,0,D245/D$12)</f>
        <v>-0.18468222033895582</v>
      </c>
      <c r="G245" s="13"/>
      <c r="H245" s="34">
        <f>SUM(H242:H244)</f>
        <v>-385071.27000000019</v>
      </c>
      <c r="I245" s="13"/>
      <c r="J245" s="30">
        <f>IF(H$12=0,0,H245/H$12)</f>
        <v>-1.156558320613297</v>
      </c>
      <c r="K245" s="15"/>
      <c r="L245" s="34">
        <f>+D245-H245</f>
        <v>259955.79000000015</v>
      </c>
      <c r="M245" s="15"/>
      <c r="N245" s="30">
        <f>IF(H245=0,0,L245/H245)</f>
        <v>-0.67508487454802857</v>
      </c>
      <c r="O245" s="25"/>
      <c r="P245" s="34">
        <f>SUM(P242:P244)</f>
        <v>-225910.51999999949</v>
      </c>
      <c r="Q245" s="13"/>
      <c r="R245" s="30">
        <f>IF(P$12=0,0,P245/P$12)</f>
        <v>-6.2600788742074615E-2</v>
      </c>
      <c r="S245" s="13"/>
      <c r="T245" s="34">
        <f>SUM(T242:T244)</f>
        <v>-611638.11</v>
      </c>
      <c r="U245" s="13"/>
      <c r="V245" s="30">
        <f>IF(T$12=0,0,T245/T$12)</f>
        <v>-0.17524785503873475</v>
      </c>
      <c r="W245" s="15"/>
      <c r="X245" s="34">
        <f>+P245-T245</f>
        <v>385727.59000000049</v>
      </c>
      <c r="Y245" s="15"/>
      <c r="Z245" s="30">
        <f>IF(T245=0,0,X245/T245)</f>
        <v>-0.6306467561349316</v>
      </c>
    </row>
    <row r="246" spans="1:26" ht="15.75" thickTop="1" x14ac:dyDescent="0.25">
      <c r="A246" s="9"/>
      <c r="C246" s="9"/>
      <c r="D246" s="18"/>
      <c r="E246" s="18"/>
      <c r="G246" s="18"/>
      <c r="H246" s="18"/>
      <c r="I246" s="18"/>
      <c r="J246" s="42"/>
      <c r="K246" s="18"/>
      <c r="L246" s="18"/>
      <c r="M246" s="18"/>
      <c r="P246" s="18"/>
      <c r="Q246" s="18"/>
      <c r="R246" s="42"/>
      <c r="S246" s="18"/>
      <c r="T246" s="18"/>
      <c r="U246" s="18"/>
      <c r="V246" s="42"/>
      <c r="W246" s="18"/>
      <c r="X246" s="18"/>
    </row>
    <row r="247" spans="1:26" x14ac:dyDescent="0.25">
      <c r="A247" s="9"/>
      <c r="B247" s="61">
        <v>44517.967013807873</v>
      </c>
      <c r="D247" s="18"/>
      <c r="E247" s="18"/>
      <c r="G247" s="18"/>
      <c r="H247" s="18"/>
      <c r="I247" s="18"/>
      <c r="J247" s="42"/>
      <c r="K247" s="18"/>
      <c r="L247" s="18"/>
      <c r="M247" s="18"/>
      <c r="P247" s="18"/>
      <c r="Q247" s="18"/>
      <c r="R247" s="42"/>
      <c r="S247" s="18"/>
      <c r="T247" s="18"/>
      <c r="U247" s="18"/>
      <c r="V247" s="42"/>
      <c r="W247" s="18"/>
      <c r="X247" s="18"/>
    </row>
    <row r="248" spans="1:26" x14ac:dyDescent="0.25">
      <c r="A248" s="9"/>
      <c r="B248" s="57" t="s">
        <v>56</v>
      </c>
      <c r="D248" s="18"/>
      <c r="E248" s="18"/>
      <c r="G248" s="18"/>
      <c r="H248" s="18"/>
      <c r="I248" s="18"/>
      <c r="J248" s="42"/>
      <c r="K248" s="18"/>
      <c r="L248" s="18"/>
      <c r="M248" s="18"/>
      <c r="P248" s="18"/>
      <c r="Q248" s="18"/>
      <c r="R248" s="42"/>
      <c r="S248" s="18"/>
      <c r="T248" s="18"/>
      <c r="U248" s="18"/>
      <c r="V248" s="42"/>
      <c r="W248" s="18"/>
      <c r="X248" s="18"/>
    </row>
    <row r="249" spans="1:26" x14ac:dyDescent="0.25">
      <c r="A249" s="9"/>
      <c r="B249" s="58"/>
      <c r="D249" s="18"/>
      <c r="E249" s="18"/>
      <c r="G249" s="18"/>
      <c r="H249" s="18"/>
      <c r="I249" s="18"/>
      <c r="J249" s="42"/>
      <c r="K249" s="18"/>
      <c r="L249" s="18"/>
      <c r="M249" s="18"/>
      <c r="P249" s="18"/>
      <c r="Q249" s="18"/>
      <c r="R249" s="42"/>
      <c r="S249" s="18"/>
      <c r="T249" s="18"/>
      <c r="U249" s="18"/>
      <c r="V249" s="42"/>
      <c r="W249" s="18"/>
      <c r="X249" s="18"/>
    </row>
    <row r="250" spans="1:26" x14ac:dyDescent="0.25">
      <c r="D250" s="18"/>
      <c r="E250" s="18"/>
      <c r="G250" s="18"/>
      <c r="H250" s="18"/>
      <c r="I250" s="18"/>
      <c r="J250" s="42"/>
      <c r="K250" s="18"/>
      <c r="L250" s="18"/>
      <c r="M250" s="18"/>
      <c r="P250" s="18"/>
      <c r="Q250" s="18"/>
      <c r="R250" s="42"/>
      <c r="S250" s="18"/>
      <c r="T250" s="18"/>
      <c r="U250" s="18"/>
      <c r="V250" s="42"/>
      <c r="W250" s="18"/>
      <c r="X250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"5000", " - ", "PURCHASES @ COST")</f>
        <v xml:space="preserve">          5000 - PURCHASES @ COST</v>
      </c>
      <c r="C15" s="11"/>
      <c r="D15" s="2">
        <v>0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D12-D14</f>
        <v>0</v>
      </c>
      <c r="E17" s="13"/>
      <c r="F17" s="20">
        <f>IF(D$12=0,0,D17/D$12)</f>
        <v>0</v>
      </c>
      <c r="G17" s="13"/>
      <c r="H17" s="22">
        <f>H12-H14</f>
        <v>0</v>
      </c>
      <c r="I17" s="13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5"/>
      <c r="P17" s="22">
        <f>P12-P14</f>
        <v>0</v>
      </c>
      <c r="Q17" s="13"/>
      <c r="R17" s="20">
        <f>IF(P$12=0,0,P17/P$12)</f>
        <v>0</v>
      </c>
      <c r="S17" s="13"/>
      <c r="T17" s="22">
        <f>T12-T14</f>
        <v>0</v>
      </c>
      <c r="U17" s="13"/>
      <c r="V17" s="20">
        <f>IF(T$12=0,0,T17/T$12)</f>
        <v>0</v>
      </c>
      <c r="W17" s="15"/>
      <c r="X17" s="22">
        <f>+P17-T17</f>
        <v>0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SUM(OSRRefD22x_0)</f>
        <v>146275.69999999998</v>
      </c>
      <c r="E19" s="21"/>
      <c r="F19" s="36">
        <f t="shared" ref="F19:F30" si="8">IF(D$12=0,0,D19/D$12)</f>
        <v>0</v>
      </c>
      <c r="G19" s="21"/>
      <c r="H19" s="21">
        <f>SUM(OSRRefH22x_0)</f>
        <v>118485.46999999999</v>
      </c>
      <c r="I19" s="21"/>
      <c r="J19" s="36">
        <f t="shared" ref="J19:J30" si="9">IF(H$12=0,0,H19/H$12)</f>
        <v>0</v>
      </c>
      <c r="K19" s="4"/>
      <c r="L19" s="21">
        <f t="shared" ref="L19:L30" si="10">+D19-H19</f>
        <v>27790.229999999996</v>
      </c>
      <c r="M19" s="4"/>
      <c r="N19" s="36">
        <f t="shared" ref="N19:N30" si="11">IF(H19=0,0,L19/H19)</f>
        <v>0.23454546789576813</v>
      </c>
      <c r="O19" s="10"/>
      <c r="P19" s="21">
        <f>SUM(OSRRefP22x_0)</f>
        <v>620659.91999999993</v>
      </c>
      <c r="Q19" s="21"/>
      <c r="R19" s="36">
        <f t="shared" ref="R19:R30" si="12">IF(P$12=0,0,P19/P$12)</f>
        <v>0</v>
      </c>
      <c r="S19" s="21"/>
      <c r="T19" s="21">
        <f>SUM(OSRRefT22x_0)</f>
        <v>535090.51</v>
      </c>
      <c r="U19" s="21"/>
      <c r="V19" s="36">
        <f t="shared" ref="V19:V30" si="13">IF(T$12=0,0,T19/T$12)</f>
        <v>0</v>
      </c>
      <c r="W19" s="4"/>
      <c r="X19" s="21">
        <f t="shared" ref="X19:X30" si="14">+P19-T19</f>
        <v>85569.409999999916</v>
      </c>
      <c r="Y19" s="4"/>
      <c r="Z19" s="36">
        <f t="shared" ref="Z19:Z30" si="15">IF(T19=0,0,X19/T19)</f>
        <v>0.15991576826881104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17082.93</v>
      </c>
      <c r="E20" s="1"/>
      <c r="F20" s="5">
        <f t="shared" si="8"/>
        <v>0</v>
      </c>
      <c r="G20" s="1"/>
      <c r="H20" s="1">
        <f>SUM(OSRRefH22_0x_0)</f>
        <v>9035.86</v>
      </c>
      <c r="I20" s="1"/>
      <c r="J20" s="5">
        <f t="shared" si="9"/>
        <v>0</v>
      </c>
      <c r="K20" s="1"/>
      <c r="L20" s="1">
        <f t="shared" si="10"/>
        <v>8047.07</v>
      </c>
      <c r="M20" s="1"/>
      <c r="N20" s="5">
        <f t="shared" si="11"/>
        <v>0.89057046036569831</v>
      </c>
      <c r="O20" s="14"/>
      <c r="P20" s="1">
        <f>SUM(OSRRefP22_0x_0)</f>
        <v>57967.14</v>
      </c>
      <c r="Q20" s="1"/>
      <c r="R20" s="5">
        <f t="shared" si="12"/>
        <v>0</v>
      </c>
      <c r="S20" s="1"/>
      <c r="T20" s="1">
        <f>SUM(OSRRefT22_0x_0)</f>
        <v>34805.030000000006</v>
      </c>
      <c r="U20" s="1"/>
      <c r="V20" s="5">
        <f t="shared" si="13"/>
        <v>0</v>
      </c>
      <c r="W20" s="1"/>
      <c r="X20" s="1">
        <f t="shared" si="14"/>
        <v>23162.109999999993</v>
      </c>
      <c r="Y20" s="1"/>
      <c r="Z20" s="5">
        <f t="shared" si="15"/>
        <v>0.665481684687529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3010.31</v>
      </c>
      <c r="E21" s="2"/>
      <c r="F21" s="7">
        <f t="shared" si="8"/>
        <v>0</v>
      </c>
      <c r="G21" s="2"/>
      <c r="H21" s="6">
        <v>3527.98</v>
      </c>
      <c r="I21" s="2"/>
      <c r="J21" s="7">
        <f t="shared" si="9"/>
        <v>0</v>
      </c>
      <c r="K21" s="2"/>
      <c r="L21" s="6">
        <f t="shared" si="10"/>
        <v>-517.67000000000007</v>
      </c>
      <c r="M21" s="2"/>
      <c r="N21" s="7">
        <f t="shared" si="11"/>
        <v>-0.14673269122840835</v>
      </c>
      <c r="O21" s="11"/>
      <c r="P21" s="6">
        <v>12490.38</v>
      </c>
      <c r="Q21" s="2"/>
      <c r="R21" s="7">
        <f t="shared" si="12"/>
        <v>0</v>
      </c>
      <c r="S21" s="2"/>
      <c r="T21" s="6">
        <v>11844.1</v>
      </c>
      <c r="U21" s="2"/>
      <c r="V21" s="7">
        <f t="shared" si="13"/>
        <v>0</v>
      </c>
      <c r="W21" s="2"/>
      <c r="X21" s="6">
        <f t="shared" si="14"/>
        <v>646.27999999999884</v>
      </c>
      <c r="Y21" s="2"/>
      <c r="Z21" s="7">
        <f t="shared" si="15"/>
        <v>5.456556428939293E-2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991.91</v>
      </c>
      <c r="E22" s="2"/>
      <c r="F22" s="7">
        <f t="shared" si="8"/>
        <v>0</v>
      </c>
      <c r="G22" s="2"/>
      <c r="H22" s="6">
        <v>508.93</v>
      </c>
      <c r="I22" s="2"/>
      <c r="J22" s="7">
        <f t="shared" si="9"/>
        <v>0</v>
      </c>
      <c r="K22" s="2"/>
      <c r="L22" s="6">
        <f t="shared" si="10"/>
        <v>482.97999999999996</v>
      </c>
      <c r="M22" s="2"/>
      <c r="N22" s="7">
        <f t="shared" si="11"/>
        <v>0.9490106694437348</v>
      </c>
      <c r="O22" s="11"/>
      <c r="P22" s="6">
        <v>3300.27</v>
      </c>
      <c r="Q22" s="2"/>
      <c r="R22" s="7">
        <f t="shared" si="12"/>
        <v>0</v>
      </c>
      <c r="S22" s="2"/>
      <c r="T22" s="6">
        <v>2946.79</v>
      </c>
      <c r="U22" s="2"/>
      <c r="V22" s="7">
        <f t="shared" si="13"/>
        <v>0</v>
      </c>
      <c r="W22" s="2"/>
      <c r="X22" s="6">
        <f t="shared" si="14"/>
        <v>353.48</v>
      </c>
      <c r="Y22" s="2"/>
      <c r="Z22" s="7">
        <f t="shared" si="15"/>
        <v>0.11995425530831855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5751.68</v>
      </c>
      <c r="E23" s="2"/>
      <c r="F23" s="7">
        <f t="shared" si="8"/>
        <v>0</v>
      </c>
      <c r="G23" s="2"/>
      <c r="H23" s="6">
        <v>1588.12</v>
      </c>
      <c r="I23" s="2"/>
      <c r="J23" s="7">
        <f t="shared" si="9"/>
        <v>0</v>
      </c>
      <c r="K23" s="2"/>
      <c r="L23" s="6">
        <f t="shared" si="10"/>
        <v>4163.5600000000004</v>
      </c>
      <c r="M23" s="2"/>
      <c r="N23" s="7">
        <f t="shared" si="11"/>
        <v>2.6216910560914797</v>
      </c>
      <c r="O23" s="11"/>
      <c r="P23" s="6">
        <v>20896.48</v>
      </c>
      <c r="Q23" s="2"/>
      <c r="R23" s="7">
        <f t="shared" si="12"/>
        <v>0</v>
      </c>
      <c r="S23" s="2"/>
      <c r="T23" s="6">
        <v>6535.66</v>
      </c>
      <c r="U23" s="2"/>
      <c r="V23" s="7">
        <f t="shared" si="13"/>
        <v>0</v>
      </c>
      <c r="W23" s="2"/>
      <c r="X23" s="6">
        <f t="shared" si="14"/>
        <v>14360.82</v>
      </c>
      <c r="Y23" s="2"/>
      <c r="Z23" s="7">
        <f t="shared" si="15"/>
        <v>2.1973021852421946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176.48</v>
      </c>
      <c r="E24" s="2"/>
      <c r="F24" s="7">
        <f t="shared" si="8"/>
        <v>0</v>
      </c>
      <c r="G24" s="2"/>
      <c r="H24" s="6">
        <v>80.37</v>
      </c>
      <c r="I24" s="2"/>
      <c r="J24" s="7">
        <f t="shared" si="9"/>
        <v>0</v>
      </c>
      <c r="K24" s="2"/>
      <c r="L24" s="6">
        <f t="shared" si="10"/>
        <v>96.109999999999985</v>
      </c>
      <c r="M24" s="2"/>
      <c r="N24" s="7">
        <f t="shared" si="11"/>
        <v>1.1958442204802784</v>
      </c>
      <c r="O24" s="11"/>
      <c r="P24" s="6">
        <v>590.11</v>
      </c>
      <c r="Q24" s="2"/>
      <c r="R24" s="7">
        <f t="shared" si="12"/>
        <v>0</v>
      </c>
      <c r="S24" s="2"/>
      <c r="T24" s="6">
        <v>455.06</v>
      </c>
      <c r="U24" s="2"/>
      <c r="V24" s="7">
        <f t="shared" si="13"/>
        <v>0</v>
      </c>
      <c r="W24" s="2"/>
      <c r="X24" s="6">
        <f t="shared" si="14"/>
        <v>135.05000000000001</v>
      </c>
      <c r="Y24" s="2"/>
      <c r="Z24" s="7">
        <f t="shared" si="15"/>
        <v>0.29677405177339256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2278.2800000000002</v>
      </c>
      <c r="E25" s="2"/>
      <c r="F25" s="7">
        <f t="shared" si="8"/>
        <v>0</v>
      </c>
      <c r="G25" s="2"/>
      <c r="H25" s="6">
        <v>983.12</v>
      </c>
      <c r="I25" s="2"/>
      <c r="J25" s="7">
        <f t="shared" si="9"/>
        <v>0</v>
      </c>
      <c r="K25" s="2"/>
      <c r="L25" s="6">
        <f t="shared" si="10"/>
        <v>1295.1600000000003</v>
      </c>
      <c r="M25" s="2"/>
      <c r="N25" s="7">
        <f t="shared" si="11"/>
        <v>1.3173976727154368</v>
      </c>
      <c r="O25" s="11"/>
      <c r="P25" s="6">
        <v>6834.86</v>
      </c>
      <c r="Q25" s="2"/>
      <c r="R25" s="7">
        <f t="shared" si="12"/>
        <v>0</v>
      </c>
      <c r="S25" s="2"/>
      <c r="T25" s="6">
        <v>4685.72</v>
      </c>
      <c r="U25" s="2"/>
      <c r="V25" s="7">
        <f t="shared" si="13"/>
        <v>0</v>
      </c>
      <c r="W25" s="2"/>
      <c r="X25" s="6">
        <f t="shared" si="14"/>
        <v>2149.1399999999994</v>
      </c>
      <c r="Y25" s="2"/>
      <c r="Z25" s="7">
        <f t="shared" si="15"/>
        <v>0.4586573674910151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401.9</v>
      </c>
      <c r="U26" s="2"/>
      <c r="V26" s="7">
        <f t="shared" si="13"/>
        <v>0</v>
      </c>
      <c r="W26" s="2"/>
      <c r="X26" s="6">
        <f t="shared" si="14"/>
        <v>-401.9</v>
      </c>
      <c r="Y26" s="2"/>
      <c r="Z26" s="7">
        <f t="shared" si="15"/>
        <v>-1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>
        <v>304.70999999999998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304.70999999999998</v>
      </c>
      <c r="M27" s="2"/>
      <c r="N27" s="7">
        <f t="shared" si="11"/>
        <v>0</v>
      </c>
      <c r="O27" s="11"/>
      <c r="P27" s="6">
        <v>1267.47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1267.47</v>
      </c>
      <c r="Y27" s="2"/>
      <c r="Z27" s="7">
        <f t="shared" si="15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>
        <v>1928.32</v>
      </c>
      <c r="E28" s="2"/>
      <c r="F28" s="7">
        <f t="shared" si="8"/>
        <v>0</v>
      </c>
      <c r="G28" s="2"/>
      <c r="H28" s="6">
        <v>1208.8800000000001</v>
      </c>
      <c r="I28" s="2"/>
      <c r="J28" s="7">
        <f t="shared" si="9"/>
        <v>0</v>
      </c>
      <c r="K28" s="2"/>
      <c r="L28" s="6">
        <f t="shared" si="10"/>
        <v>719.43999999999983</v>
      </c>
      <c r="M28" s="2"/>
      <c r="N28" s="7">
        <f t="shared" si="11"/>
        <v>0.59512937595129356</v>
      </c>
      <c r="O28" s="11"/>
      <c r="P28" s="6">
        <v>5611.75</v>
      </c>
      <c r="Q28" s="2"/>
      <c r="R28" s="7">
        <f t="shared" si="12"/>
        <v>0</v>
      </c>
      <c r="S28" s="2"/>
      <c r="T28" s="6">
        <v>4335.62</v>
      </c>
      <c r="U28" s="2"/>
      <c r="V28" s="7">
        <f t="shared" si="13"/>
        <v>0</v>
      </c>
      <c r="W28" s="2"/>
      <c r="X28" s="6">
        <f t="shared" si="14"/>
        <v>1276.1300000000001</v>
      </c>
      <c r="Y28" s="2"/>
      <c r="Z28" s="7">
        <f t="shared" si="15"/>
        <v>0.29433621950263172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>
        <v>1619.13</v>
      </c>
      <c r="E29" s="2"/>
      <c r="F29" s="7">
        <f t="shared" si="8"/>
        <v>0</v>
      </c>
      <c r="G29" s="2"/>
      <c r="H29" s="6">
        <v>924.44</v>
      </c>
      <c r="I29" s="2"/>
      <c r="J29" s="7">
        <f t="shared" si="9"/>
        <v>0</v>
      </c>
      <c r="K29" s="2"/>
      <c r="L29" s="6">
        <f t="shared" si="10"/>
        <v>694.69</v>
      </c>
      <c r="M29" s="2"/>
      <c r="N29" s="7">
        <f t="shared" si="11"/>
        <v>0.75147116091904287</v>
      </c>
      <c r="O29" s="11"/>
      <c r="P29" s="6">
        <v>4669.22</v>
      </c>
      <c r="Q29" s="2"/>
      <c r="R29" s="7">
        <f t="shared" si="12"/>
        <v>0</v>
      </c>
      <c r="S29" s="2"/>
      <c r="T29" s="6">
        <v>2915.35</v>
      </c>
      <c r="U29" s="2"/>
      <c r="V29" s="7">
        <f t="shared" si="13"/>
        <v>0</v>
      </c>
      <c r="W29" s="2"/>
      <c r="X29" s="6">
        <f t="shared" si="14"/>
        <v>1753.8700000000003</v>
      </c>
      <c r="Y29" s="2"/>
      <c r="Z29" s="7">
        <f t="shared" si="15"/>
        <v>0.60159843586533368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6">
        <v>1022.11</v>
      </c>
      <c r="E30" s="2"/>
      <c r="F30" s="7">
        <f t="shared" si="8"/>
        <v>0</v>
      </c>
      <c r="G30" s="2"/>
      <c r="H30" s="6">
        <v>214.02</v>
      </c>
      <c r="I30" s="2"/>
      <c r="J30" s="7">
        <f t="shared" si="9"/>
        <v>0</v>
      </c>
      <c r="K30" s="2"/>
      <c r="L30" s="6">
        <f t="shared" si="10"/>
        <v>808.09</v>
      </c>
      <c r="M30" s="2"/>
      <c r="N30" s="7">
        <f t="shared" si="11"/>
        <v>3.775768619755163</v>
      </c>
      <c r="O30" s="11"/>
      <c r="P30" s="6">
        <v>2306.6</v>
      </c>
      <c r="Q30" s="2"/>
      <c r="R30" s="7">
        <f t="shared" si="12"/>
        <v>0</v>
      </c>
      <c r="S30" s="2"/>
      <c r="T30" s="6">
        <v>684.83</v>
      </c>
      <c r="U30" s="2"/>
      <c r="V30" s="7">
        <f t="shared" si="13"/>
        <v>0</v>
      </c>
      <c r="W30" s="2"/>
      <c r="X30" s="6">
        <f t="shared" si="14"/>
        <v>1621.77</v>
      </c>
      <c r="Y30" s="2"/>
      <c r="Z30" s="7">
        <f t="shared" si="15"/>
        <v>2.3681351576303609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52591.170000000006</v>
      </c>
      <c r="E31" s="1"/>
      <c r="F31" s="5">
        <f t="shared" ref="F31:F38" si="16">IF(D$12=0,0,D31/D$12)</f>
        <v>0</v>
      </c>
      <c r="G31" s="1"/>
      <c r="H31" s="1">
        <f>SUM(OSRRefH22_1x_0)</f>
        <v>34017.49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18573.680000000008</v>
      </c>
      <c r="M31" s="1"/>
      <c r="N31" s="5">
        <f t="shared" ref="N31:N38" si="19">IF(H31=0,0,L31/H31)</f>
        <v>0.54600383508601047</v>
      </c>
      <c r="O31" s="14"/>
      <c r="P31" s="1">
        <f>SUM(OSRRefP22_1x_0)</f>
        <v>224723.77000000002</v>
      </c>
      <c r="Q31" s="1"/>
      <c r="R31" s="5">
        <f t="shared" ref="R31:R38" si="20">IF(P$12=0,0,P31/P$12)</f>
        <v>0</v>
      </c>
      <c r="S31" s="1"/>
      <c r="T31" s="1">
        <f>SUM(OSRRefT22_1x_0)</f>
        <v>181629.62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43094.150000000023</v>
      </c>
      <c r="Y31" s="1"/>
      <c r="Z31" s="5">
        <f t="shared" ref="Z31:Z38" si="23">IF(T31=0,0,X31/T31)</f>
        <v>0.23726388900665005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4926.78</v>
      </c>
      <c r="E32" s="2"/>
      <c r="F32" s="7">
        <f t="shared" si="16"/>
        <v>0</v>
      </c>
      <c r="G32" s="2"/>
      <c r="H32" s="6">
        <v>4205.17</v>
      </c>
      <c r="I32" s="2"/>
      <c r="J32" s="7">
        <f t="shared" si="17"/>
        <v>0</v>
      </c>
      <c r="K32" s="2"/>
      <c r="L32" s="6">
        <f t="shared" si="18"/>
        <v>721.60999999999967</v>
      </c>
      <c r="M32" s="2"/>
      <c r="N32" s="7">
        <f t="shared" si="19"/>
        <v>0.171600672505511</v>
      </c>
      <c r="O32" s="11"/>
      <c r="P32" s="6">
        <v>19484.080000000002</v>
      </c>
      <c r="Q32" s="2"/>
      <c r="R32" s="7">
        <f t="shared" si="20"/>
        <v>0</v>
      </c>
      <c r="S32" s="2"/>
      <c r="T32" s="6">
        <v>17453.82</v>
      </c>
      <c r="U32" s="2"/>
      <c r="V32" s="7">
        <f t="shared" si="21"/>
        <v>0</v>
      </c>
      <c r="W32" s="2"/>
      <c r="X32" s="6">
        <f t="shared" si="22"/>
        <v>2030.260000000002</v>
      </c>
      <c r="Y32" s="2"/>
      <c r="Z32" s="7">
        <f t="shared" si="23"/>
        <v>0.11632181379205252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>
        <v>10853.65</v>
      </c>
      <c r="E33" s="2"/>
      <c r="F33" s="7">
        <f t="shared" si="16"/>
        <v>0</v>
      </c>
      <c r="G33" s="2"/>
      <c r="H33" s="6">
        <v>8985.19</v>
      </c>
      <c r="I33" s="2"/>
      <c r="J33" s="7">
        <f t="shared" si="17"/>
        <v>0</v>
      </c>
      <c r="K33" s="2"/>
      <c r="L33" s="6">
        <f t="shared" si="18"/>
        <v>1868.4599999999991</v>
      </c>
      <c r="M33" s="2"/>
      <c r="N33" s="7">
        <f t="shared" si="19"/>
        <v>0.2079488580653274</v>
      </c>
      <c r="O33" s="11"/>
      <c r="P33" s="6">
        <v>43792.41</v>
      </c>
      <c r="Q33" s="2"/>
      <c r="R33" s="7">
        <f t="shared" si="20"/>
        <v>0</v>
      </c>
      <c r="S33" s="2"/>
      <c r="T33" s="6">
        <v>35774.370000000003</v>
      </c>
      <c r="U33" s="2"/>
      <c r="V33" s="7">
        <f t="shared" si="21"/>
        <v>0</v>
      </c>
      <c r="W33" s="2"/>
      <c r="X33" s="6">
        <f t="shared" si="22"/>
        <v>8018.0400000000009</v>
      </c>
      <c r="Y33" s="2"/>
      <c r="Z33" s="7">
        <f t="shared" si="23"/>
        <v>0.22412805592383597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>
        <v>10880.02</v>
      </c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10880.02</v>
      </c>
      <c r="M34" s="2"/>
      <c r="N34" s="7">
        <f t="shared" si="19"/>
        <v>0</v>
      </c>
      <c r="O34" s="11"/>
      <c r="P34" s="6">
        <v>27514.53</v>
      </c>
      <c r="Q34" s="2"/>
      <c r="R34" s="7">
        <f t="shared" si="20"/>
        <v>0</v>
      </c>
      <c r="S34" s="2"/>
      <c r="T34" s="6">
        <v>3465.6</v>
      </c>
      <c r="U34" s="2"/>
      <c r="V34" s="7">
        <f t="shared" si="21"/>
        <v>0</v>
      </c>
      <c r="W34" s="2"/>
      <c r="X34" s="6">
        <f t="shared" si="22"/>
        <v>24048.93</v>
      </c>
      <c r="Y34" s="2"/>
      <c r="Z34" s="7">
        <f t="shared" si="23"/>
        <v>6.9393265235457067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>
        <v>4541.66</v>
      </c>
      <c r="E35" s="2"/>
      <c r="F35" s="7">
        <f t="shared" si="16"/>
        <v>0</v>
      </c>
      <c r="G35" s="2"/>
      <c r="H35" s="6">
        <v>9472.0499999999993</v>
      </c>
      <c r="I35" s="2"/>
      <c r="J35" s="7">
        <f t="shared" si="17"/>
        <v>0</v>
      </c>
      <c r="K35" s="2"/>
      <c r="L35" s="6">
        <f t="shared" si="18"/>
        <v>-4930.3899999999994</v>
      </c>
      <c r="M35" s="2"/>
      <c r="N35" s="7">
        <f t="shared" si="19"/>
        <v>-0.52051984522885753</v>
      </c>
      <c r="O35" s="11"/>
      <c r="P35" s="6">
        <v>13866.21</v>
      </c>
      <c r="Q35" s="2"/>
      <c r="R35" s="7">
        <f t="shared" si="20"/>
        <v>0</v>
      </c>
      <c r="S35" s="2"/>
      <c r="T35" s="6">
        <v>41086.57</v>
      </c>
      <c r="U35" s="2"/>
      <c r="V35" s="7">
        <f t="shared" si="21"/>
        <v>0</v>
      </c>
      <c r="W35" s="2"/>
      <c r="X35" s="6">
        <f t="shared" si="22"/>
        <v>-27220.36</v>
      </c>
      <c r="Y35" s="2"/>
      <c r="Z35" s="7">
        <f t="shared" si="23"/>
        <v>-0.66251234892569522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>
        <v>781.97</v>
      </c>
      <c r="E36" s="2"/>
      <c r="F36" s="7">
        <f t="shared" si="16"/>
        <v>0</v>
      </c>
      <c r="G36" s="2"/>
      <c r="H36" s="6">
        <v>1802.76</v>
      </c>
      <c r="I36" s="2"/>
      <c r="J36" s="7">
        <f t="shared" si="17"/>
        <v>0</v>
      </c>
      <c r="K36" s="2"/>
      <c r="L36" s="6">
        <f t="shared" si="18"/>
        <v>-1020.79</v>
      </c>
      <c r="M36" s="2"/>
      <c r="N36" s="7">
        <f t="shared" si="19"/>
        <v>-0.56623732499057</v>
      </c>
      <c r="O36" s="11"/>
      <c r="P36" s="6">
        <v>9877.6200000000008</v>
      </c>
      <c r="Q36" s="2"/>
      <c r="R36" s="7">
        <f t="shared" si="20"/>
        <v>0</v>
      </c>
      <c r="S36" s="2"/>
      <c r="T36" s="6">
        <v>7004.88</v>
      </c>
      <c r="U36" s="2"/>
      <c r="V36" s="7">
        <f t="shared" si="21"/>
        <v>0</v>
      </c>
      <c r="W36" s="2"/>
      <c r="X36" s="6">
        <f t="shared" si="22"/>
        <v>2872.7400000000007</v>
      </c>
      <c r="Y36" s="2"/>
      <c r="Z36" s="7">
        <f t="shared" si="23"/>
        <v>0.41010552643300108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>
        <v>18702.11</v>
      </c>
      <c r="E37" s="2"/>
      <c r="F37" s="7">
        <f t="shared" si="16"/>
        <v>0</v>
      </c>
      <c r="G37" s="2"/>
      <c r="H37" s="6">
        <v>9552.32</v>
      </c>
      <c r="I37" s="2"/>
      <c r="J37" s="7">
        <f t="shared" si="17"/>
        <v>0</v>
      </c>
      <c r="K37" s="2"/>
      <c r="L37" s="6">
        <f t="shared" si="18"/>
        <v>9149.7900000000009</v>
      </c>
      <c r="M37" s="2"/>
      <c r="N37" s="7">
        <f t="shared" si="19"/>
        <v>0.95786049881076019</v>
      </c>
      <c r="O37" s="11"/>
      <c r="P37" s="6">
        <v>100856.73</v>
      </c>
      <c r="Q37" s="2"/>
      <c r="R37" s="7">
        <f t="shared" si="20"/>
        <v>0</v>
      </c>
      <c r="S37" s="2"/>
      <c r="T37" s="6">
        <v>76844.38</v>
      </c>
      <c r="U37" s="2"/>
      <c r="V37" s="7">
        <f t="shared" si="21"/>
        <v>0</v>
      </c>
      <c r="W37" s="2"/>
      <c r="X37" s="6">
        <f t="shared" si="22"/>
        <v>24012.349999999991</v>
      </c>
      <c r="Y37" s="2"/>
      <c r="Z37" s="7">
        <f t="shared" si="23"/>
        <v>0.31248023603027297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>
        <v>1904.98</v>
      </c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1904.98</v>
      </c>
      <c r="M38" s="2"/>
      <c r="N38" s="7">
        <f t="shared" si="19"/>
        <v>0</v>
      </c>
      <c r="O38" s="11"/>
      <c r="P38" s="6">
        <v>9332.19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9332.19</v>
      </c>
      <c r="Y38" s="2"/>
      <c r="Z38" s="7">
        <f t="shared" si="23"/>
        <v>0</v>
      </c>
    </row>
    <row r="39" spans="1:26" s="28" customFormat="1" outlineLevel="1" collapsed="1" x14ac:dyDescent="0.25">
      <c r="A39" s="27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7" si="24">IF(D$12=0,0,D39/D$12)</f>
        <v>0</v>
      </c>
      <c r="G39" s="1"/>
      <c r="H39" s="1">
        <f>SUM(OSRRefH22_2x_0)</f>
        <v>0</v>
      </c>
      <c r="I39" s="1"/>
      <c r="J39" s="5">
        <f t="shared" ref="J39:J47" si="25">IF(H$12=0,0,H39/H$12)</f>
        <v>0</v>
      </c>
      <c r="K39" s="1"/>
      <c r="L39" s="1">
        <f t="shared" ref="L39:L47" si="26">+D39-H39</f>
        <v>0</v>
      </c>
      <c r="M39" s="1"/>
      <c r="N39" s="5">
        <f t="shared" ref="N39:N47" si="27">IF(H39=0,0,L39/H39)</f>
        <v>0</v>
      </c>
      <c r="O39" s="14"/>
      <c r="P39" s="1">
        <f>SUM(OSRRefP22_2x_0)</f>
        <v>160</v>
      </c>
      <c r="Q39" s="1"/>
      <c r="R39" s="5">
        <f t="shared" ref="R39:R47" si="28">IF(P$12=0,0,P39/P$12)</f>
        <v>0</v>
      </c>
      <c r="S39" s="1"/>
      <c r="T39" s="1">
        <f>SUM(OSRRefT22_2x_0)</f>
        <v>0</v>
      </c>
      <c r="U39" s="1"/>
      <c r="V39" s="5">
        <f t="shared" ref="V39:V47" si="29">IF(T$12=0,0,T39/T$12)</f>
        <v>0</v>
      </c>
      <c r="W39" s="1"/>
      <c r="X39" s="1">
        <f t="shared" ref="X39:X47" si="30">+P39-T39</f>
        <v>160</v>
      </c>
      <c r="Y39" s="1"/>
      <c r="Z39" s="5">
        <f t="shared" ref="Z39:Z47" si="31">IF(T39=0,0,X39/T39)</f>
        <v>0</v>
      </c>
    </row>
    <row r="40" spans="1:26" s="24" customFormat="1" hidden="1" outlineLevel="2" x14ac:dyDescent="0.25">
      <c r="A40" s="29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160</v>
      </c>
      <c r="Q40" s="2"/>
      <c r="R40" s="7">
        <f t="shared" si="28"/>
        <v>0</v>
      </c>
      <c r="S40" s="2"/>
      <c r="T40" s="6"/>
      <c r="U40" s="2"/>
      <c r="V40" s="7">
        <f t="shared" si="29"/>
        <v>0</v>
      </c>
      <c r="W40" s="2"/>
      <c r="X40" s="6">
        <f t="shared" si="30"/>
        <v>160</v>
      </c>
      <c r="Y40" s="2"/>
      <c r="Z40" s="7">
        <f t="shared" si="31"/>
        <v>0</v>
      </c>
    </row>
    <row r="41" spans="1:26" s="28" customFormat="1" outlineLevel="1" collapsed="1" x14ac:dyDescent="0.25">
      <c r="A41" s="27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-20.8</v>
      </c>
      <c r="E41" s="1"/>
      <c r="F41" s="5">
        <f t="shared" si="24"/>
        <v>0</v>
      </c>
      <c r="G41" s="1"/>
      <c r="H41" s="1">
        <f>SUM(OSRRefH22_3x_0)</f>
        <v>-28.22</v>
      </c>
      <c r="I41" s="1"/>
      <c r="J41" s="5">
        <f t="shared" si="25"/>
        <v>0</v>
      </c>
      <c r="K41" s="1"/>
      <c r="L41" s="1">
        <f t="shared" si="26"/>
        <v>7.4199999999999982</v>
      </c>
      <c r="M41" s="1"/>
      <c r="N41" s="5">
        <f t="shared" si="27"/>
        <v>-0.26293408929836992</v>
      </c>
      <c r="O41" s="14"/>
      <c r="P41" s="1">
        <f>SUM(OSRRefP22_3x_0)</f>
        <v>229.74</v>
      </c>
      <c r="Q41" s="1"/>
      <c r="R41" s="5">
        <f t="shared" si="28"/>
        <v>0</v>
      </c>
      <c r="S41" s="1"/>
      <c r="T41" s="1">
        <f>SUM(OSRRefT22_3x_0)</f>
        <v>49.99</v>
      </c>
      <c r="U41" s="1"/>
      <c r="V41" s="5">
        <f t="shared" si="29"/>
        <v>0</v>
      </c>
      <c r="W41" s="1"/>
      <c r="X41" s="1">
        <f t="shared" si="30"/>
        <v>179.75</v>
      </c>
      <c r="Y41" s="1"/>
      <c r="Z41" s="5">
        <f t="shared" si="31"/>
        <v>3.5957191438287657</v>
      </c>
    </row>
    <row r="42" spans="1:26" s="24" customFormat="1" hidden="1" outlineLevel="2" x14ac:dyDescent="0.25">
      <c r="A42" s="29"/>
      <c r="B42" s="11" t="str">
        <f>CONCATENATE("          ", "6272", " - ", "CASH (OVER/SHORT)")</f>
        <v xml:space="preserve">          6272 - CASH (OVER/SHORT)</v>
      </c>
      <c r="C42" s="11"/>
      <c r="D42" s="6">
        <v>-20.8</v>
      </c>
      <c r="E42" s="2"/>
      <c r="F42" s="7">
        <f t="shared" si="24"/>
        <v>0</v>
      </c>
      <c r="G42" s="2"/>
      <c r="H42" s="6">
        <v>-28.22</v>
      </c>
      <c r="I42" s="2"/>
      <c r="J42" s="7">
        <f t="shared" si="25"/>
        <v>0</v>
      </c>
      <c r="K42" s="2"/>
      <c r="L42" s="6">
        <f t="shared" si="26"/>
        <v>7.4199999999999982</v>
      </c>
      <c r="M42" s="2"/>
      <c r="N42" s="7">
        <f t="shared" si="27"/>
        <v>-0.26293408929836992</v>
      </c>
      <c r="O42" s="11"/>
      <c r="P42" s="6">
        <v>229.74</v>
      </c>
      <c r="Q42" s="2"/>
      <c r="R42" s="7">
        <f t="shared" si="28"/>
        <v>0</v>
      </c>
      <c r="S42" s="2"/>
      <c r="T42" s="6">
        <v>49.99</v>
      </c>
      <c r="U42" s="2"/>
      <c r="V42" s="7">
        <f t="shared" si="29"/>
        <v>0</v>
      </c>
      <c r="W42" s="2"/>
      <c r="X42" s="6">
        <f t="shared" si="30"/>
        <v>179.75</v>
      </c>
      <c r="Y42" s="2"/>
      <c r="Z42" s="7">
        <f t="shared" si="31"/>
        <v>3.5957191438287657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12320.84</v>
      </c>
      <c r="E43" s="1"/>
      <c r="F43" s="5">
        <f t="shared" si="24"/>
        <v>0</v>
      </c>
      <c r="G43" s="1"/>
      <c r="H43" s="1">
        <f>SUM(OSRRefH22_4x_0)</f>
        <v>4600.4799999999996</v>
      </c>
      <c r="I43" s="1"/>
      <c r="J43" s="5">
        <f t="shared" si="25"/>
        <v>0</v>
      </c>
      <c r="K43" s="1"/>
      <c r="L43" s="1">
        <f t="shared" si="26"/>
        <v>7720.3600000000006</v>
      </c>
      <c r="M43" s="1"/>
      <c r="N43" s="5">
        <f t="shared" si="27"/>
        <v>1.6781640176677219</v>
      </c>
      <c r="O43" s="14"/>
      <c r="P43" s="1">
        <f>SUM(OSRRefP22_4x_0)</f>
        <v>48407.55</v>
      </c>
      <c r="Q43" s="1"/>
      <c r="R43" s="5">
        <f t="shared" si="28"/>
        <v>0</v>
      </c>
      <c r="S43" s="1"/>
      <c r="T43" s="1">
        <f>SUM(OSRRefT22_4x_0)</f>
        <v>37782.080000000002</v>
      </c>
      <c r="U43" s="1"/>
      <c r="V43" s="5">
        <f t="shared" si="29"/>
        <v>0</v>
      </c>
      <c r="W43" s="1"/>
      <c r="X43" s="1">
        <f t="shared" si="30"/>
        <v>10625.470000000001</v>
      </c>
      <c r="Y43" s="1"/>
      <c r="Z43" s="5">
        <f t="shared" si="31"/>
        <v>0.28123041399520621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6">
        <v>12320.84</v>
      </c>
      <c r="E44" s="2"/>
      <c r="F44" s="7">
        <f t="shared" si="24"/>
        <v>0</v>
      </c>
      <c r="G44" s="2"/>
      <c r="H44" s="6">
        <v>4600.4799999999996</v>
      </c>
      <c r="I44" s="2"/>
      <c r="J44" s="7">
        <f t="shared" si="25"/>
        <v>0</v>
      </c>
      <c r="K44" s="2"/>
      <c r="L44" s="6">
        <f t="shared" si="26"/>
        <v>7720.3600000000006</v>
      </c>
      <c r="M44" s="2"/>
      <c r="N44" s="7">
        <f t="shared" si="27"/>
        <v>1.6781640176677219</v>
      </c>
      <c r="O44" s="11"/>
      <c r="P44" s="6">
        <v>48407.55</v>
      </c>
      <c r="Q44" s="2"/>
      <c r="R44" s="7">
        <f t="shared" si="28"/>
        <v>0</v>
      </c>
      <c r="S44" s="2"/>
      <c r="T44" s="6">
        <v>37782.080000000002</v>
      </c>
      <c r="U44" s="2"/>
      <c r="V44" s="7">
        <f t="shared" si="29"/>
        <v>0</v>
      </c>
      <c r="W44" s="2"/>
      <c r="X44" s="6">
        <f t="shared" si="30"/>
        <v>10625.470000000001</v>
      </c>
      <c r="Y44" s="2"/>
      <c r="Z44" s="7">
        <f t="shared" si="31"/>
        <v>0.28123041399520621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30444.98</v>
      </c>
      <c r="E45" s="1"/>
      <c r="F45" s="5">
        <f t="shared" si="24"/>
        <v>0</v>
      </c>
      <c r="G45" s="1"/>
      <c r="H45" s="1">
        <f>SUM(OSRRefH22_5x_0)</f>
        <v>30565.98</v>
      </c>
      <c r="I45" s="1"/>
      <c r="J45" s="5">
        <f t="shared" si="25"/>
        <v>0</v>
      </c>
      <c r="K45" s="1"/>
      <c r="L45" s="1">
        <f t="shared" si="26"/>
        <v>-121</v>
      </c>
      <c r="M45" s="1"/>
      <c r="N45" s="5">
        <f t="shared" si="27"/>
        <v>-3.9586494527576082E-3</v>
      </c>
      <c r="O45" s="14"/>
      <c r="P45" s="1">
        <f>SUM(OSRRefP22_5x_0)</f>
        <v>122097.38</v>
      </c>
      <c r="Q45" s="1"/>
      <c r="R45" s="5">
        <f t="shared" si="28"/>
        <v>0</v>
      </c>
      <c r="S45" s="1"/>
      <c r="T45" s="1">
        <f>SUM(OSRRefT22_5x_0)</f>
        <v>122559.37</v>
      </c>
      <c r="U45" s="1"/>
      <c r="V45" s="5">
        <f t="shared" si="29"/>
        <v>0</v>
      </c>
      <c r="W45" s="1"/>
      <c r="X45" s="1">
        <f t="shared" si="30"/>
        <v>-461.98999999999069</v>
      </c>
      <c r="Y45" s="1"/>
      <c r="Z45" s="5">
        <f t="shared" si="31"/>
        <v>-3.7695200293538611E-3</v>
      </c>
    </row>
    <row r="46" spans="1:26" s="24" customFormat="1" hidden="1" outlineLevel="2" x14ac:dyDescent="0.25">
      <c r="A46" s="29"/>
      <c r="B46" s="11" t="str">
        <f>CONCATENATE("          ", "6321", " - ", "BUILDING DEPRECIATION")</f>
        <v xml:space="preserve">          6321 - BUILDING DEPRECIATION</v>
      </c>
      <c r="C46" s="11"/>
      <c r="D46" s="6">
        <v>16396.52</v>
      </c>
      <c r="E46" s="2"/>
      <c r="F46" s="7">
        <f t="shared" si="24"/>
        <v>0</v>
      </c>
      <c r="G46" s="2"/>
      <c r="H46" s="6">
        <v>16396.52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65586.080000000002</v>
      </c>
      <c r="Q46" s="2"/>
      <c r="R46" s="7">
        <f t="shared" si="28"/>
        <v>0</v>
      </c>
      <c r="S46" s="2"/>
      <c r="T46" s="6">
        <v>65586.080000000002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14048.46</v>
      </c>
      <c r="E47" s="2"/>
      <c r="F47" s="7">
        <f t="shared" si="24"/>
        <v>0</v>
      </c>
      <c r="G47" s="2"/>
      <c r="H47" s="6">
        <v>14169.46</v>
      </c>
      <c r="I47" s="2"/>
      <c r="J47" s="7">
        <f t="shared" si="25"/>
        <v>0</v>
      </c>
      <c r="K47" s="2"/>
      <c r="L47" s="6">
        <f t="shared" si="26"/>
        <v>-121</v>
      </c>
      <c r="M47" s="2"/>
      <c r="N47" s="7">
        <f t="shared" si="27"/>
        <v>-8.539492683560277E-3</v>
      </c>
      <c r="O47" s="11"/>
      <c r="P47" s="6">
        <v>56511.3</v>
      </c>
      <c r="Q47" s="2"/>
      <c r="R47" s="7">
        <f t="shared" si="28"/>
        <v>0</v>
      </c>
      <c r="S47" s="2"/>
      <c r="T47" s="6">
        <v>56973.29</v>
      </c>
      <c r="U47" s="2"/>
      <c r="V47" s="7">
        <f t="shared" si="29"/>
        <v>0</v>
      </c>
      <c r="W47" s="2"/>
      <c r="X47" s="6">
        <f t="shared" si="30"/>
        <v>-461.98999999999796</v>
      </c>
      <c r="Y47" s="2"/>
      <c r="Z47" s="7">
        <f t="shared" si="31"/>
        <v>-8.1088875155357534E-3</v>
      </c>
    </row>
    <row r="48" spans="1:26" s="28" customFormat="1" outlineLevel="1" collapsed="1" x14ac:dyDescent="0.25">
      <c r="A48" s="27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SUM(OSRRefD22_6x_0)</f>
        <v>-0.21</v>
      </c>
      <c r="E48" s="1"/>
      <c r="F48" s="5">
        <f t="shared" ref="F48:F70" si="32">IF(D$12=0,0,D48/D$12)</f>
        <v>0</v>
      </c>
      <c r="G48" s="1"/>
      <c r="H48" s="1">
        <f>SUM(OSRRefH22_6x_0)</f>
        <v>0</v>
      </c>
      <c r="I48" s="1"/>
      <c r="J48" s="5">
        <f t="shared" ref="J48:J70" si="33">IF(H$12=0,0,H48/H$12)</f>
        <v>0</v>
      </c>
      <c r="K48" s="1"/>
      <c r="L48" s="1">
        <f t="shared" ref="L48:L70" si="34">+D48-H48</f>
        <v>-0.21</v>
      </c>
      <c r="M48" s="1"/>
      <c r="N48" s="5">
        <f t="shared" ref="N48:N70" si="35">IF(H48=0,0,L48/H48)</f>
        <v>0</v>
      </c>
      <c r="O48" s="14"/>
      <c r="P48" s="1">
        <f>SUM(OSRRefP22_6x_0)</f>
        <v>-22.7</v>
      </c>
      <c r="Q48" s="1"/>
      <c r="R48" s="5">
        <f t="shared" ref="R48:R70" si="36">IF(P$12=0,0,P48/P$12)</f>
        <v>0</v>
      </c>
      <c r="S48" s="1"/>
      <c r="T48" s="1">
        <f>SUM(OSRRefT22_6x_0)</f>
        <v>0</v>
      </c>
      <c r="U48" s="1"/>
      <c r="V48" s="5">
        <f t="shared" ref="V48:V70" si="37">IF(T$12=0,0,T48/T$12)</f>
        <v>0</v>
      </c>
      <c r="W48" s="1"/>
      <c r="X48" s="1">
        <f t="shared" ref="X48:X70" si="38">+P48-T48</f>
        <v>-22.7</v>
      </c>
      <c r="Y48" s="1"/>
      <c r="Z48" s="5">
        <f t="shared" ref="Z48:Z70" si="39">IF(T48=0,0,X48/T48)</f>
        <v>0</v>
      </c>
    </row>
    <row r="49" spans="1:26" s="24" customFormat="1" hidden="1" outlineLevel="2" x14ac:dyDescent="0.25">
      <c r="A49" s="29"/>
      <c r="B49" s="11" t="str">
        <f>CONCATENATE("          ", "9175", " - ", "EARNED DISCOUNTS")</f>
        <v xml:space="preserve">          9175 - EARNED DISCOUNTS</v>
      </c>
      <c r="C49" s="11"/>
      <c r="D49" s="6">
        <v>-0.21</v>
      </c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-0.21</v>
      </c>
      <c r="M49" s="2"/>
      <c r="N49" s="7">
        <f t="shared" si="35"/>
        <v>0</v>
      </c>
      <c r="O49" s="11"/>
      <c r="P49" s="6">
        <v>-22.7</v>
      </c>
      <c r="Q49" s="2"/>
      <c r="R49" s="7">
        <f t="shared" si="36"/>
        <v>0</v>
      </c>
      <c r="S49" s="2"/>
      <c r="T49" s="6"/>
      <c r="U49" s="2"/>
      <c r="V49" s="7">
        <f t="shared" si="37"/>
        <v>0</v>
      </c>
      <c r="W49" s="2"/>
      <c r="X49" s="6">
        <f t="shared" si="38"/>
        <v>-22.7</v>
      </c>
      <c r="Y49" s="2"/>
      <c r="Z49" s="7">
        <f t="shared" si="39"/>
        <v>0</v>
      </c>
    </row>
    <row r="50" spans="1:26" s="28" customFormat="1" outlineLevel="1" collapsed="1" x14ac:dyDescent="0.25">
      <c r="A50" s="27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SUM(OSRRefD22_7x_0)</f>
        <v>1483.48</v>
      </c>
      <c r="E50" s="1"/>
      <c r="F50" s="5">
        <f t="shared" si="32"/>
        <v>0</v>
      </c>
      <c r="G50" s="1"/>
      <c r="H50" s="1">
        <f>SUM(OSRRefH22_7x_0)</f>
        <v>0</v>
      </c>
      <c r="I50" s="1"/>
      <c r="J50" s="5">
        <f t="shared" si="33"/>
        <v>0</v>
      </c>
      <c r="K50" s="1"/>
      <c r="L50" s="1">
        <f t="shared" si="34"/>
        <v>1483.48</v>
      </c>
      <c r="M50" s="1"/>
      <c r="N50" s="5">
        <f t="shared" si="35"/>
        <v>0</v>
      </c>
      <c r="O50" s="14"/>
      <c r="P50" s="1">
        <f>SUM(OSRRefP22_7x_0)</f>
        <v>1483.48</v>
      </c>
      <c r="Q50" s="1"/>
      <c r="R50" s="5">
        <f t="shared" si="36"/>
        <v>0</v>
      </c>
      <c r="S50" s="1"/>
      <c r="T50" s="1">
        <f>SUM(OSRRefT22_7x_0)</f>
        <v>0</v>
      </c>
      <c r="U50" s="1"/>
      <c r="V50" s="5">
        <f t="shared" si="37"/>
        <v>0</v>
      </c>
      <c r="W50" s="1"/>
      <c r="X50" s="1">
        <f t="shared" si="38"/>
        <v>1483.48</v>
      </c>
      <c r="Y50" s="1"/>
      <c r="Z50" s="5">
        <f t="shared" si="39"/>
        <v>0</v>
      </c>
    </row>
    <row r="51" spans="1:26" s="24" customFormat="1" hidden="1" outlineLevel="2" x14ac:dyDescent="0.25">
      <c r="A51" s="29"/>
      <c r="B51" s="11" t="str">
        <f>CONCATENATE("          ", "6399", " - ", "DONATION-ON CAMPUS")</f>
        <v xml:space="preserve">          6399 - DONATION-ON CAMPUS</v>
      </c>
      <c r="C51" s="11"/>
      <c r="D51" s="6">
        <v>1483.48</v>
      </c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1483.48</v>
      </c>
      <c r="M51" s="2"/>
      <c r="N51" s="7">
        <f t="shared" si="35"/>
        <v>0</v>
      </c>
      <c r="O51" s="11"/>
      <c r="P51" s="6">
        <v>1483.48</v>
      </c>
      <c r="Q51" s="2"/>
      <c r="R51" s="7">
        <f t="shared" si="36"/>
        <v>0</v>
      </c>
      <c r="S51" s="2"/>
      <c r="T51" s="6"/>
      <c r="U51" s="2"/>
      <c r="V51" s="7">
        <f t="shared" si="37"/>
        <v>0</v>
      </c>
      <c r="W51" s="2"/>
      <c r="X51" s="6">
        <f t="shared" si="38"/>
        <v>1483.48</v>
      </c>
      <c r="Y51" s="2"/>
      <c r="Z51" s="7">
        <f t="shared" si="39"/>
        <v>0</v>
      </c>
    </row>
    <row r="52" spans="1:26" s="28" customFormat="1" outlineLevel="1" collapsed="1" x14ac:dyDescent="0.25">
      <c r="A52" s="27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SUM(OSRRefD22_8x_0)</f>
        <v>0</v>
      </c>
      <c r="E52" s="1"/>
      <c r="F52" s="5">
        <f t="shared" si="32"/>
        <v>0</v>
      </c>
      <c r="G52" s="1"/>
      <c r="H52" s="1">
        <f>SUM(OSRRefH22_8x_0)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4"/>
      <c r="P52" s="1">
        <f>SUM(OSRRefP22_8x_0)</f>
        <v>1168.19</v>
      </c>
      <c r="Q52" s="1"/>
      <c r="R52" s="5">
        <f t="shared" si="36"/>
        <v>0</v>
      </c>
      <c r="S52" s="1"/>
      <c r="T52" s="1">
        <f>SUM(OSRRefT22_8x_0)</f>
        <v>0</v>
      </c>
      <c r="U52" s="1"/>
      <c r="V52" s="5">
        <f t="shared" si="37"/>
        <v>0</v>
      </c>
      <c r="W52" s="1"/>
      <c r="X52" s="1">
        <f t="shared" si="38"/>
        <v>1168.19</v>
      </c>
      <c r="Y52" s="1"/>
      <c r="Z52" s="5">
        <f t="shared" si="39"/>
        <v>0</v>
      </c>
    </row>
    <row r="53" spans="1:26" s="24" customFormat="1" hidden="1" outlineLevel="2" x14ac:dyDescent="0.25">
      <c r="A53" s="29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>
        <v>1168.19</v>
      </c>
      <c r="Q53" s="2"/>
      <c r="R53" s="7">
        <f t="shared" si="36"/>
        <v>0</v>
      </c>
      <c r="S53" s="2"/>
      <c r="T53" s="6"/>
      <c r="U53" s="2"/>
      <c r="V53" s="7">
        <f t="shared" si="37"/>
        <v>0</v>
      </c>
      <c r="W53" s="2"/>
      <c r="X53" s="6">
        <f t="shared" si="38"/>
        <v>1168.19</v>
      </c>
      <c r="Y53" s="2"/>
      <c r="Z53" s="7">
        <f t="shared" si="39"/>
        <v>0</v>
      </c>
    </row>
    <row r="54" spans="1:26" s="28" customFormat="1" outlineLevel="1" collapsed="1" x14ac:dyDescent="0.25">
      <c r="A54" s="27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SUM(OSRRefD22_9x_0)</f>
        <v>234.45</v>
      </c>
      <c r="E54" s="1"/>
      <c r="F54" s="5">
        <f t="shared" si="32"/>
        <v>0</v>
      </c>
      <c r="G54" s="1"/>
      <c r="H54" s="1">
        <f>SUM(OSRRefH22_9x_0)</f>
        <v>91.26</v>
      </c>
      <c r="I54" s="1"/>
      <c r="J54" s="5">
        <f t="shared" si="33"/>
        <v>0</v>
      </c>
      <c r="K54" s="1"/>
      <c r="L54" s="1">
        <f t="shared" si="34"/>
        <v>143.19</v>
      </c>
      <c r="M54" s="1"/>
      <c r="N54" s="5">
        <f t="shared" si="35"/>
        <v>1.569033530571992</v>
      </c>
      <c r="O54" s="14"/>
      <c r="P54" s="1">
        <f>SUM(OSRRefP22_9x_0)</f>
        <v>1423.8</v>
      </c>
      <c r="Q54" s="1"/>
      <c r="R54" s="5">
        <f t="shared" si="36"/>
        <v>0</v>
      </c>
      <c r="S54" s="1"/>
      <c r="T54" s="1">
        <f>SUM(OSRRefT22_9x_0)</f>
        <v>688.93</v>
      </c>
      <c r="U54" s="1"/>
      <c r="V54" s="5">
        <f t="shared" si="37"/>
        <v>0</v>
      </c>
      <c r="W54" s="1"/>
      <c r="X54" s="1">
        <f t="shared" si="38"/>
        <v>734.87</v>
      </c>
      <c r="Y54" s="1"/>
      <c r="Z54" s="5">
        <f t="shared" si="39"/>
        <v>1.0666831172978388</v>
      </c>
    </row>
    <row r="55" spans="1:26" s="24" customFormat="1" hidden="1" outlineLevel="2" x14ac:dyDescent="0.25">
      <c r="A55" s="29"/>
      <c r="B55" s="11" t="str">
        <f>CONCATENATE("          ", "6351", " - ", "EQUIPMENT RENTAL")</f>
        <v xml:space="preserve">          6351 - EQUIPMENT RENTAL</v>
      </c>
      <c r="C55" s="11"/>
      <c r="D55" s="6">
        <v>234.45</v>
      </c>
      <c r="E55" s="2"/>
      <c r="F55" s="7">
        <f t="shared" si="32"/>
        <v>0</v>
      </c>
      <c r="G55" s="2"/>
      <c r="H55" s="6">
        <v>91.26</v>
      </c>
      <c r="I55" s="2"/>
      <c r="J55" s="7">
        <f t="shared" si="33"/>
        <v>0</v>
      </c>
      <c r="K55" s="2"/>
      <c r="L55" s="6">
        <f t="shared" si="34"/>
        <v>143.19</v>
      </c>
      <c r="M55" s="2"/>
      <c r="N55" s="7">
        <f t="shared" si="35"/>
        <v>1.569033530571992</v>
      </c>
      <c r="O55" s="11"/>
      <c r="P55" s="6">
        <v>1423.8</v>
      </c>
      <c r="Q55" s="2"/>
      <c r="R55" s="7">
        <f t="shared" si="36"/>
        <v>0</v>
      </c>
      <c r="S55" s="2"/>
      <c r="T55" s="6">
        <v>688.93</v>
      </c>
      <c r="U55" s="2"/>
      <c r="V55" s="7">
        <f t="shared" si="37"/>
        <v>0</v>
      </c>
      <c r="W55" s="2"/>
      <c r="X55" s="6">
        <f t="shared" si="38"/>
        <v>734.87</v>
      </c>
      <c r="Y55" s="2"/>
      <c r="Z55" s="7">
        <f t="shared" si="39"/>
        <v>1.0666831172978388</v>
      </c>
    </row>
    <row r="56" spans="1:26" s="28" customFormat="1" outlineLevel="1" collapsed="1" x14ac:dyDescent="0.25">
      <c r="A56" s="27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SUM(OSRRefD22_10x_0)</f>
        <v>1231.9000000000001</v>
      </c>
      <c r="E56" s="1"/>
      <c r="F56" s="5">
        <f t="shared" si="32"/>
        <v>0</v>
      </c>
      <c r="G56" s="1"/>
      <c r="H56" s="1">
        <f>SUM(OSRRefH22_10x_0)</f>
        <v>15.95</v>
      </c>
      <c r="I56" s="1"/>
      <c r="J56" s="5">
        <f t="shared" si="33"/>
        <v>0</v>
      </c>
      <c r="K56" s="1"/>
      <c r="L56" s="1">
        <f t="shared" si="34"/>
        <v>1215.95</v>
      </c>
      <c r="M56" s="1"/>
      <c r="N56" s="5">
        <f t="shared" si="35"/>
        <v>76.23510971786834</v>
      </c>
      <c r="O56" s="14"/>
      <c r="P56" s="1">
        <f>SUM(OSRRefP22_10x_0)</f>
        <v>2164.23</v>
      </c>
      <c r="Q56" s="1"/>
      <c r="R56" s="5">
        <f t="shared" si="36"/>
        <v>0</v>
      </c>
      <c r="S56" s="1"/>
      <c r="T56" s="1">
        <f>SUM(OSRRefT22_10x_0)</f>
        <v>647.85</v>
      </c>
      <c r="U56" s="1"/>
      <c r="V56" s="5">
        <f t="shared" si="37"/>
        <v>0</v>
      </c>
      <c r="W56" s="1"/>
      <c r="X56" s="1">
        <f t="shared" si="38"/>
        <v>1516.38</v>
      </c>
      <c r="Y56" s="1"/>
      <c r="Z56" s="5">
        <f t="shared" si="39"/>
        <v>2.3406344061125259</v>
      </c>
    </row>
    <row r="57" spans="1:26" s="24" customFormat="1" hidden="1" outlineLevel="2" x14ac:dyDescent="0.25">
      <c r="A57" s="29"/>
      <c r="B57" s="11" t="str">
        <f>CONCATENATE("          ", "6307", " - ", "POSTAGE")</f>
        <v xml:space="preserve">          6307 - POSTAGE</v>
      </c>
      <c r="C57" s="11"/>
      <c r="D57" s="6">
        <v>1231.9000000000001</v>
      </c>
      <c r="E57" s="2"/>
      <c r="F57" s="7">
        <f t="shared" si="32"/>
        <v>0</v>
      </c>
      <c r="G57" s="2"/>
      <c r="H57" s="6">
        <v>15.95</v>
      </c>
      <c r="I57" s="2"/>
      <c r="J57" s="7">
        <f t="shared" si="33"/>
        <v>0</v>
      </c>
      <c r="K57" s="2"/>
      <c r="L57" s="6">
        <f t="shared" si="34"/>
        <v>1215.95</v>
      </c>
      <c r="M57" s="2"/>
      <c r="N57" s="7">
        <f t="shared" si="35"/>
        <v>76.23510971786834</v>
      </c>
      <c r="O57" s="11"/>
      <c r="P57" s="6">
        <v>2164.23</v>
      </c>
      <c r="Q57" s="2"/>
      <c r="R57" s="7">
        <f t="shared" si="36"/>
        <v>0</v>
      </c>
      <c r="S57" s="2"/>
      <c r="T57" s="6">
        <v>647.85</v>
      </c>
      <c r="U57" s="2"/>
      <c r="V57" s="7">
        <f t="shared" si="37"/>
        <v>0</v>
      </c>
      <c r="W57" s="2"/>
      <c r="X57" s="6">
        <f t="shared" si="38"/>
        <v>1516.38</v>
      </c>
      <c r="Y57" s="2"/>
      <c r="Z57" s="7">
        <f t="shared" si="39"/>
        <v>2.3406344061125259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SUM(OSRRefD22_11x_0)</f>
        <v>327.5</v>
      </c>
      <c r="E58" s="1"/>
      <c r="F58" s="5">
        <f t="shared" si="32"/>
        <v>0</v>
      </c>
      <c r="G58" s="1"/>
      <c r="H58" s="1">
        <f>SUM(OSRRefH22_11x_0)</f>
        <v>0</v>
      </c>
      <c r="I58" s="1"/>
      <c r="J58" s="5">
        <f t="shared" si="33"/>
        <v>0</v>
      </c>
      <c r="K58" s="1"/>
      <c r="L58" s="1">
        <f t="shared" si="34"/>
        <v>327.5</v>
      </c>
      <c r="M58" s="1"/>
      <c r="N58" s="5">
        <f t="shared" si="35"/>
        <v>0</v>
      </c>
      <c r="O58" s="14"/>
      <c r="P58" s="1">
        <f>SUM(OSRRefP22_11x_0)</f>
        <v>1874.75</v>
      </c>
      <c r="Q58" s="1"/>
      <c r="R58" s="5">
        <f t="shared" si="36"/>
        <v>0</v>
      </c>
      <c r="S58" s="1"/>
      <c r="T58" s="1">
        <f>SUM(OSRRefT22_11x_0)</f>
        <v>867.81</v>
      </c>
      <c r="U58" s="1"/>
      <c r="V58" s="5">
        <f t="shared" si="37"/>
        <v>0</v>
      </c>
      <c r="W58" s="1"/>
      <c r="X58" s="1">
        <f t="shared" si="38"/>
        <v>1006.94</v>
      </c>
      <c r="Y58" s="1"/>
      <c r="Z58" s="5">
        <f t="shared" si="39"/>
        <v>1.1603231122019799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6">
        <v>327.5</v>
      </c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327.5</v>
      </c>
      <c r="M59" s="2"/>
      <c r="N59" s="7">
        <f t="shared" si="35"/>
        <v>0</v>
      </c>
      <c r="O59" s="11"/>
      <c r="P59" s="6">
        <v>1874.75</v>
      </c>
      <c r="Q59" s="2"/>
      <c r="R59" s="7">
        <f t="shared" si="36"/>
        <v>0</v>
      </c>
      <c r="S59" s="2"/>
      <c r="T59" s="6">
        <v>867.81</v>
      </c>
      <c r="U59" s="2"/>
      <c r="V59" s="7">
        <f t="shared" si="37"/>
        <v>0</v>
      </c>
      <c r="W59" s="2"/>
      <c r="X59" s="6">
        <f t="shared" si="38"/>
        <v>1006.94</v>
      </c>
      <c r="Y59" s="2"/>
      <c r="Z59" s="7">
        <f t="shared" si="39"/>
        <v>1.1603231122019799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SUM(OSRRefD22_12x_0)</f>
        <v>5275.49</v>
      </c>
      <c r="E60" s="1"/>
      <c r="F60" s="5">
        <f t="shared" si="32"/>
        <v>0</v>
      </c>
      <c r="G60" s="1"/>
      <c r="H60" s="1">
        <f>SUM(OSRRefH22_12x_0)</f>
        <v>3883.56</v>
      </c>
      <c r="I60" s="1"/>
      <c r="J60" s="5">
        <f t="shared" si="33"/>
        <v>0</v>
      </c>
      <c r="K60" s="1"/>
      <c r="L60" s="1">
        <f t="shared" si="34"/>
        <v>1391.9299999999998</v>
      </c>
      <c r="M60" s="1"/>
      <c r="N60" s="5">
        <f t="shared" si="35"/>
        <v>0.35841598945297609</v>
      </c>
      <c r="O60" s="14"/>
      <c r="P60" s="1">
        <f>SUM(OSRRefP22_12x_0)</f>
        <v>21101.96</v>
      </c>
      <c r="Q60" s="1"/>
      <c r="R60" s="5">
        <f t="shared" si="36"/>
        <v>0</v>
      </c>
      <c r="S60" s="1"/>
      <c r="T60" s="1">
        <f>SUM(OSRRefT22_12x_0)</f>
        <v>15534.24</v>
      </c>
      <c r="U60" s="1"/>
      <c r="V60" s="5">
        <f t="shared" si="37"/>
        <v>0</v>
      </c>
      <c r="W60" s="1"/>
      <c r="X60" s="1">
        <f t="shared" si="38"/>
        <v>5567.7199999999993</v>
      </c>
      <c r="Y60" s="1"/>
      <c r="Z60" s="5">
        <f t="shared" si="39"/>
        <v>0.35841598945297609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6">
        <v>5275.49</v>
      </c>
      <c r="E61" s="2"/>
      <c r="F61" s="7">
        <f t="shared" si="32"/>
        <v>0</v>
      </c>
      <c r="G61" s="2"/>
      <c r="H61" s="6">
        <v>3883.56</v>
      </c>
      <c r="I61" s="2"/>
      <c r="J61" s="7">
        <f t="shared" si="33"/>
        <v>0</v>
      </c>
      <c r="K61" s="2"/>
      <c r="L61" s="6">
        <f t="shared" si="34"/>
        <v>1391.9299999999998</v>
      </c>
      <c r="M61" s="2"/>
      <c r="N61" s="7">
        <f t="shared" si="35"/>
        <v>0.35841598945297609</v>
      </c>
      <c r="O61" s="11"/>
      <c r="P61" s="6">
        <v>21101.96</v>
      </c>
      <c r="Q61" s="2"/>
      <c r="R61" s="7">
        <f t="shared" si="36"/>
        <v>0</v>
      </c>
      <c r="S61" s="2"/>
      <c r="T61" s="6">
        <v>15534.24</v>
      </c>
      <c r="U61" s="2"/>
      <c r="V61" s="7">
        <f t="shared" si="37"/>
        <v>0</v>
      </c>
      <c r="W61" s="2"/>
      <c r="X61" s="6">
        <f t="shared" si="38"/>
        <v>5567.7199999999993</v>
      </c>
      <c r="Y61" s="2"/>
      <c r="Z61" s="7">
        <f t="shared" si="39"/>
        <v>0.35841598945297609</v>
      </c>
    </row>
    <row r="62" spans="1:26" s="28" customFormat="1" outlineLevel="1" collapsed="1" x14ac:dyDescent="0.25">
      <c r="A62" s="27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SUM(OSRRefD22_13x_0)</f>
        <v>7517.43</v>
      </c>
      <c r="E62" s="1"/>
      <c r="F62" s="5">
        <f t="shared" si="32"/>
        <v>0</v>
      </c>
      <c r="G62" s="1"/>
      <c r="H62" s="1">
        <f>SUM(OSRRefH22_13x_0)</f>
        <v>0</v>
      </c>
      <c r="I62" s="1"/>
      <c r="J62" s="5">
        <f t="shared" si="33"/>
        <v>0</v>
      </c>
      <c r="K62" s="1"/>
      <c r="L62" s="1">
        <f t="shared" si="34"/>
        <v>7517.43</v>
      </c>
      <c r="M62" s="1"/>
      <c r="N62" s="5">
        <f t="shared" si="35"/>
        <v>0</v>
      </c>
      <c r="O62" s="14"/>
      <c r="P62" s="1">
        <f>SUM(OSRRefP22_13x_0)</f>
        <v>7517.43</v>
      </c>
      <c r="Q62" s="1"/>
      <c r="R62" s="5">
        <f t="shared" si="36"/>
        <v>0</v>
      </c>
      <c r="S62" s="1"/>
      <c r="T62" s="1">
        <f>SUM(OSRRefT22_13x_0)</f>
        <v>0</v>
      </c>
      <c r="U62" s="1"/>
      <c r="V62" s="5">
        <f t="shared" si="37"/>
        <v>0</v>
      </c>
      <c r="W62" s="1"/>
      <c r="X62" s="1">
        <f t="shared" si="38"/>
        <v>7517.43</v>
      </c>
      <c r="Y62" s="1"/>
      <c r="Z62" s="5">
        <f t="shared" si="39"/>
        <v>0</v>
      </c>
    </row>
    <row r="63" spans="1:26" s="24" customFormat="1" hidden="1" outlineLevel="2" x14ac:dyDescent="0.25">
      <c r="A63" s="29"/>
      <c r="B63" s="11" t="str">
        <f>CONCATENATE("          ", "6336", " - ", "PROFESSIONAL SERVICES")</f>
        <v xml:space="preserve">          6336 - PROFESSIONAL SERVICES</v>
      </c>
      <c r="C63" s="11"/>
      <c r="D63" s="6">
        <v>7517.43</v>
      </c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7517.43</v>
      </c>
      <c r="M63" s="2"/>
      <c r="N63" s="7">
        <f t="shared" si="35"/>
        <v>0</v>
      </c>
      <c r="O63" s="11"/>
      <c r="P63" s="6">
        <v>7517.43</v>
      </c>
      <c r="Q63" s="2"/>
      <c r="R63" s="7">
        <f t="shared" si="36"/>
        <v>0</v>
      </c>
      <c r="S63" s="2"/>
      <c r="T63" s="6"/>
      <c r="U63" s="2"/>
      <c r="V63" s="7">
        <f t="shared" si="37"/>
        <v>0</v>
      </c>
      <c r="W63" s="2"/>
      <c r="X63" s="6">
        <f t="shared" si="38"/>
        <v>7517.43</v>
      </c>
      <c r="Y63" s="2"/>
      <c r="Z63" s="7">
        <f t="shared" si="39"/>
        <v>0</v>
      </c>
    </row>
    <row r="64" spans="1:26" s="28" customFormat="1" outlineLevel="1" collapsed="1" x14ac:dyDescent="0.25">
      <c r="A64" s="27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SUM(OSRRefD22_14x_0)</f>
        <v>-800</v>
      </c>
      <c r="E64" s="1"/>
      <c r="F64" s="5">
        <f t="shared" si="32"/>
        <v>0</v>
      </c>
      <c r="G64" s="1"/>
      <c r="H64" s="1">
        <f>SUM(OSRRefH22_14x_0)</f>
        <v>-800</v>
      </c>
      <c r="I64" s="1"/>
      <c r="J64" s="5">
        <f t="shared" si="33"/>
        <v>0</v>
      </c>
      <c r="K64" s="1"/>
      <c r="L64" s="1">
        <f t="shared" si="34"/>
        <v>0</v>
      </c>
      <c r="M64" s="1"/>
      <c r="N64" s="5">
        <f t="shared" si="35"/>
        <v>0</v>
      </c>
      <c r="O64" s="14"/>
      <c r="P64" s="1">
        <f>SUM(OSRRefP22_14x_0)</f>
        <v>-3200</v>
      </c>
      <c r="Q64" s="1"/>
      <c r="R64" s="5">
        <f t="shared" si="36"/>
        <v>0</v>
      </c>
      <c r="S64" s="1"/>
      <c r="T64" s="1">
        <f>SUM(OSRRefT22_14x_0)</f>
        <v>-3200</v>
      </c>
      <c r="U64" s="1"/>
      <c r="V64" s="5">
        <f t="shared" si="37"/>
        <v>0</v>
      </c>
      <c r="W64" s="1"/>
      <c r="X64" s="1">
        <f t="shared" si="38"/>
        <v>0</v>
      </c>
      <c r="Y64" s="1"/>
      <c r="Z64" s="5">
        <f t="shared" si="39"/>
        <v>0</v>
      </c>
    </row>
    <row r="65" spans="1:26" s="24" customFormat="1" hidden="1" outlineLevel="2" x14ac:dyDescent="0.25">
      <c r="A65" s="29"/>
      <c r="B65" s="11" t="str">
        <f>CONCATENATE("          ", "6273", " - ", "RENT")</f>
        <v xml:space="preserve">          6273 - RENT</v>
      </c>
      <c r="C65" s="11"/>
      <c r="D65" s="6">
        <v>-800</v>
      </c>
      <c r="E65" s="2"/>
      <c r="F65" s="7">
        <f t="shared" si="32"/>
        <v>0</v>
      </c>
      <c r="G65" s="2"/>
      <c r="H65" s="6">
        <v>-800</v>
      </c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1"/>
      <c r="P65" s="6">
        <v>-3200</v>
      </c>
      <c r="Q65" s="2"/>
      <c r="R65" s="7">
        <f t="shared" si="36"/>
        <v>0</v>
      </c>
      <c r="S65" s="2"/>
      <c r="T65" s="6">
        <v>-3200</v>
      </c>
      <c r="U65" s="2"/>
      <c r="V65" s="7">
        <f t="shared" si="37"/>
        <v>0</v>
      </c>
      <c r="W65" s="2"/>
      <c r="X65" s="6">
        <f t="shared" si="38"/>
        <v>0</v>
      </c>
      <c r="Y65" s="2"/>
      <c r="Z65" s="7">
        <f t="shared" si="39"/>
        <v>0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SUM(OSRRefD22_15x_0)</f>
        <v>1190.8</v>
      </c>
      <c r="E66" s="1"/>
      <c r="F66" s="5">
        <f t="shared" si="32"/>
        <v>0</v>
      </c>
      <c r="G66" s="1"/>
      <c r="H66" s="1">
        <f>SUM(OSRRefH22_15x_0)</f>
        <v>6258.34</v>
      </c>
      <c r="I66" s="1"/>
      <c r="J66" s="5">
        <f t="shared" si="33"/>
        <v>0</v>
      </c>
      <c r="K66" s="1"/>
      <c r="L66" s="1">
        <f t="shared" si="34"/>
        <v>-5067.54</v>
      </c>
      <c r="M66" s="1"/>
      <c r="N66" s="5">
        <f t="shared" si="35"/>
        <v>-0.80972590175669579</v>
      </c>
      <c r="O66" s="14"/>
      <c r="P66" s="1">
        <f>SUM(OSRRefP22_15x_0)</f>
        <v>69981.56</v>
      </c>
      <c r="Q66" s="1"/>
      <c r="R66" s="5">
        <f t="shared" si="36"/>
        <v>0</v>
      </c>
      <c r="S66" s="1"/>
      <c r="T66" s="1">
        <f>SUM(OSRRefT22_15x_0)</f>
        <v>73524.22</v>
      </c>
      <c r="U66" s="1"/>
      <c r="V66" s="5">
        <f t="shared" si="37"/>
        <v>0</v>
      </c>
      <c r="W66" s="1"/>
      <c r="X66" s="1">
        <f t="shared" si="38"/>
        <v>-3542.6600000000035</v>
      </c>
      <c r="Y66" s="1"/>
      <c r="Z66" s="5">
        <f t="shared" si="39"/>
        <v>-4.8183578146085787E-2</v>
      </c>
    </row>
    <row r="67" spans="1:26" s="24" customFormat="1" hidden="1" outlineLevel="2" x14ac:dyDescent="0.2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56736</v>
      </c>
      <c r="Q67" s="2"/>
      <c r="R67" s="7">
        <f t="shared" si="36"/>
        <v>0</v>
      </c>
      <c r="S67" s="2"/>
      <c r="T67" s="6">
        <v>58428.78</v>
      </c>
      <c r="U67" s="2"/>
      <c r="V67" s="7">
        <f t="shared" si="37"/>
        <v>0</v>
      </c>
      <c r="W67" s="2"/>
      <c r="X67" s="6">
        <f t="shared" si="38"/>
        <v>-1692.7799999999988</v>
      </c>
      <c r="Y67" s="2"/>
      <c r="Z67" s="7">
        <f t="shared" si="39"/>
        <v>-2.8971681421381703E-2</v>
      </c>
    </row>
    <row r="68" spans="1:26" s="24" customFormat="1" hidden="1" outlineLevel="2" x14ac:dyDescent="0.25">
      <c r="A68" s="29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32"/>
        <v>0</v>
      </c>
      <c r="G68" s="2"/>
      <c r="H68" s="6">
        <v>8.11</v>
      </c>
      <c r="I68" s="2"/>
      <c r="J68" s="7">
        <f t="shared" si="33"/>
        <v>0</v>
      </c>
      <c r="K68" s="2"/>
      <c r="L68" s="6">
        <f t="shared" si="34"/>
        <v>-8.11</v>
      </c>
      <c r="M68" s="2"/>
      <c r="N68" s="7">
        <f t="shared" si="35"/>
        <v>-1</v>
      </c>
      <c r="O68" s="11"/>
      <c r="P68" s="6"/>
      <c r="Q68" s="2"/>
      <c r="R68" s="7">
        <f t="shared" si="36"/>
        <v>0</v>
      </c>
      <c r="S68" s="2"/>
      <c r="T68" s="6">
        <v>0</v>
      </c>
      <c r="U68" s="2"/>
      <c r="V68" s="7">
        <f t="shared" si="37"/>
        <v>0</v>
      </c>
      <c r="W68" s="2"/>
      <c r="X68" s="6">
        <f t="shared" si="38"/>
        <v>0</v>
      </c>
      <c r="Y68" s="2"/>
      <c r="Z68" s="7">
        <f t="shared" si="39"/>
        <v>0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6">
        <v>182.91</v>
      </c>
      <c r="E69" s="2"/>
      <c r="F69" s="7">
        <f t="shared" si="32"/>
        <v>0</v>
      </c>
      <c r="G69" s="2"/>
      <c r="H69" s="6">
        <v>110.6</v>
      </c>
      <c r="I69" s="2"/>
      <c r="J69" s="7">
        <f t="shared" si="33"/>
        <v>0</v>
      </c>
      <c r="K69" s="2"/>
      <c r="L69" s="6">
        <f t="shared" si="34"/>
        <v>72.31</v>
      </c>
      <c r="M69" s="2"/>
      <c r="N69" s="7">
        <f t="shared" si="35"/>
        <v>0.65379746835443042</v>
      </c>
      <c r="O69" s="11"/>
      <c r="P69" s="6">
        <v>7223.04</v>
      </c>
      <c r="Q69" s="2"/>
      <c r="R69" s="7">
        <f t="shared" si="36"/>
        <v>0</v>
      </c>
      <c r="S69" s="2"/>
      <c r="T69" s="6">
        <v>6198.37</v>
      </c>
      <c r="U69" s="2"/>
      <c r="V69" s="7">
        <f t="shared" si="37"/>
        <v>0</v>
      </c>
      <c r="W69" s="2"/>
      <c r="X69" s="6">
        <f t="shared" si="38"/>
        <v>1024.67</v>
      </c>
      <c r="Y69" s="2"/>
      <c r="Z69" s="7">
        <f t="shared" si="39"/>
        <v>0.1653128161113325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1007.89</v>
      </c>
      <c r="E70" s="2"/>
      <c r="F70" s="7">
        <f t="shared" si="32"/>
        <v>0</v>
      </c>
      <c r="G70" s="2"/>
      <c r="H70" s="6">
        <v>6139.63</v>
      </c>
      <c r="I70" s="2"/>
      <c r="J70" s="7">
        <f t="shared" si="33"/>
        <v>0</v>
      </c>
      <c r="K70" s="2"/>
      <c r="L70" s="6">
        <f t="shared" si="34"/>
        <v>-5131.74</v>
      </c>
      <c r="M70" s="2"/>
      <c r="N70" s="7">
        <f t="shared" si="35"/>
        <v>-0.83583864174225475</v>
      </c>
      <c r="O70" s="11"/>
      <c r="P70" s="6">
        <v>6022.52</v>
      </c>
      <c r="Q70" s="2"/>
      <c r="R70" s="7">
        <f t="shared" si="36"/>
        <v>0</v>
      </c>
      <c r="S70" s="2"/>
      <c r="T70" s="6">
        <v>8897.07</v>
      </c>
      <c r="U70" s="2"/>
      <c r="V70" s="7">
        <f t="shared" si="37"/>
        <v>0</v>
      </c>
      <c r="W70" s="2"/>
      <c r="X70" s="6">
        <f t="shared" si="38"/>
        <v>-2874.5499999999993</v>
      </c>
      <c r="Y70" s="2"/>
      <c r="Z70" s="7">
        <f t="shared" si="39"/>
        <v>-0.32308951149086151</v>
      </c>
    </row>
    <row r="71" spans="1:26" s="28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SUM(OSRRefD22_16x_0)</f>
        <v>4653.07</v>
      </c>
      <c r="E71" s="1"/>
      <c r="F71" s="5">
        <f t="shared" ref="F71:F74" si="40">IF(D$12=0,0,D71/D$12)</f>
        <v>0</v>
      </c>
      <c r="G71" s="1"/>
      <c r="H71" s="1">
        <f>SUM(OSRRefH22_16x_0)</f>
        <v>3871.5600000000004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781.50999999999931</v>
      </c>
      <c r="M71" s="1"/>
      <c r="N71" s="5">
        <f t="shared" ref="N71:N74" si="43">IF(H71=0,0,L71/H71)</f>
        <v>0.20185919887590512</v>
      </c>
      <c r="O71" s="14"/>
      <c r="P71" s="1">
        <f>SUM(OSRRefP22_16x_0)</f>
        <v>22778.86</v>
      </c>
      <c r="Q71" s="1"/>
      <c r="R71" s="5">
        <f t="shared" ref="R71:R74" si="44">IF(P$12=0,0,P71/P$12)</f>
        <v>0</v>
      </c>
      <c r="S71" s="1"/>
      <c r="T71" s="1">
        <f>SUM(OSRRefT22_16x_0)</f>
        <v>12828.86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9950</v>
      </c>
      <c r="Y71" s="1"/>
      <c r="Z71" s="5">
        <f t="shared" ref="Z71:Z74" si="47">IF(T71=0,0,X71/T71)</f>
        <v>0.77559502559073834</v>
      </c>
    </row>
    <row r="72" spans="1:26" s="24" customFormat="1" hidden="1" outlineLevel="2" x14ac:dyDescent="0.25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532.80999999999995</v>
      </c>
      <c r="E72" s="2"/>
      <c r="F72" s="7">
        <f t="shared" si="40"/>
        <v>0</v>
      </c>
      <c r="G72" s="2"/>
      <c r="H72" s="6">
        <v>4330.68</v>
      </c>
      <c r="I72" s="2"/>
      <c r="J72" s="7">
        <f t="shared" si="41"/>
        <v>0</v>
      </c>
      <c r="K72" s="2"/>
      <c r="L72" s="6">
        <f t="shared" si="42"/>
        <v>-3797.8700000000003</v>
      </c>
      <c r="M72" s="2"/>
      <c r="N72" s="7">
        <f t="shared" si="43"/>
        <v>-0.87696851302797718</v>
      </c>
      <c r="O72" s="11"/>
      <c r="P72" s="6">
        <v>1237.08</v>
      </c>
      <c r="Q72" s="2"/>
      <c r="R72" s="7">
        <f t="shared" si="44"/>
        <v>0</v>
      </c>
      <c r="S72" s="2"/>
      <c r="T72" s="6">
        <v>4941.62</v>
      </c>
      <c r="U72" s="2"/>
      <c r="V72" s="7">
        <f t="shared" si="45"/>
        <v>0</v>
      </c>
      <c r="W72" s="2"/>
      <c r="X72" s="6">
        <f t="shared" si="46"/>
        <v>-3704.54</v>
      </c>
      <c r="Y72" s="2"/>
      <c r="Z72" s="7">
        <f t="shared" si="47"/>
        <v>-0.749661042330248</v>
      </c>
    </row>
    <row r="73" spans="1:26" s="24" customFormat="1" hidden="1" outlineLevel="2" x14ac:dyDescent="0.25">
      <c r="A73" s="29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/>
      <c r="Q73" s="2"/>
      <c r="R73" s="7">
        <f t="shared" si="44"/>
        <v>0</v>
      </c>
      <c r="S73" s="2"/>
      <c r="T73" s="6">
        <v>130</v>
      </c>
      <c r="U73" s="2"/>
      <c r="V73" s="7">
        <f t="shared" si="45"/>
        <v>0</v>
      </c>
      <c r="W73" s="2"/>
      <c r="X73" s="6">
        <f t="shared" si="46"/>
        <v>-130</v>
      </c>
      <c r="Y73" s="2"/>
      <c r="Z73" s="7">
        <f t="shared" si="47"/>
        <v>-1</v>
      </c>
    </row>
    <row r="74" spans="1:26" s="24" customFormat="1" hidden="1" outlineLevel="2" x14ac:dyDescent="0.25">
      <c r="A74" s="29"/>
      <c r="B74" s="11" t="str">
        <f>CONCATENATE("          ", "6285", " - ", "JANITORIAL SERVICES")</f>
        <v xml:space="preserve">          6285 - JANITORIAL SERVICES</v>
      </c>
      <c r="C74" s="11"/>
      <c r="D74" s="6">
        <v>4120.26</v>
      </c>
      <c r="E74" s="2"/>
      <c r="F74" s="7">
        <f t="shared" si="40"/>
        <v>0</v>
      </c>
      <c r="G74" s="2"/>
      <c r="H74" s="6">
        <v>-459.12</v>
      </c>
      <c r="I74" s="2"/>
      <c r="J74" s="7">
        <f t="shared" si="41"/>
        <v>0</v>
      </c>
      <c r="K74" s="2"/>
      <c r="L74" s="6">
        <f t="shared" si="42"/>
        <v>4579.38</v>
      </c>
      <c r="M74" s="2"/>
      <c r="N74" s="7">
        <f t="shared" si="43"/>
        <v>-9.9742550967067434</v>
      </c>
      <c r="O74" s="11"/>
      <c r="P74" s="6">
        <v>21541.78</v>
      </c>
      <c r="Q74" s="2"/>
      <c r="R74" s="7">
        <f t="shared" si="44"/>
        <v>0</v>
      </c>
      <c r="S74" s="2"/>
      <c r="T74" s="6">
        <v>7757.24</v>
      </c>
      <c r="U74" s="2"/>
      <c r="V74" s="7">
        <f t="shared" si="45"/>
        <v>0</v>
      </c>
      <c r="W74" s="2"/>
      <c r="X74" s="6">
        <f t="shared" si="46"/>
        <v>13784.539999999999</v>
      </c>
      <c r="Y74" s="2"/>
      <c r="Z74" s="7">
        <f t="shared" si="47"/>
        <v>1.7769902697351119</v>
      </c>
    </row>
    <row r="75" spans="1:26" s="28" customFormat="1" outlineLevel="1" collapsed="1" x14ac:dyDescent="0.2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SUM(OSRRefD22_17x_0)</f>
        <v>0</v>
      </c>
      <c r="E75" s="1"/>
      <c r="F75" s="5">
        <f t="shared" ref="F75:F83" si="48">IF(D$12=0,0,D75/D$12)</f>
        <v>0</v>
      </c>
      <c r="G75" s="1"/>
      <c r="H75" s="1">
        <f>SUM(OSRRefH22_17x_0)</f>
        <v>0</v>
      </c>
      <c r="I75" s="1"/>
      <c r="J75" s="5">
        <f t="shared" ref="J75:J83" si="49">IF(H$12=0,0,H75/H$12)</f>
        <v>0</v>
      </c>
      <c r="K75" s="1"/>
      <c r="L75" s="1">
        <f t="shared" ref="L75:L83" si="50">+D75-H75</f>
        <v>0</v>
      </c>
      <c r="M75" s="1"/>
      <c r="N75" s="5">
        <f t="shared" ref="N75:N83" si="51">IF(H75=0,0,L75/H75)</f>
        <v>0</v>
      </c>
      <c r="O75" s="14"/>
      <c r="P75" s="1">
        <f>SUM(OSRRefP22_17x_0)</f>
        <v>-120</v>
      </c>
      <c r="Q75" s="1"/>
      <c r="R75" s="5">
        <f t="shared" ref="R75:R83" si="52">IF(P$12=0,0,P75/P$12)</f>
        <v>0</v>
      </c>
      <c r="S75" s="1"/>
      <c r="T75" s="1">
        <f>SUM(OSRRefT22_17x_0)</f>
        <v>0</v>
      </c>
      <c r="U75" s="1"/>
      <c r="V75" s="5">
        <f t="shared" ref="V75:V83" si="53">IF(T$12=0,0,T75/T$12)</f>
        <v>0</v>
      </c>
      <c r="W75" s="1"/>
      <c r="X75" s="1">
        <f t="shared" ref="X75:X83" si="54">+P75-T75</f>
        <v>-120</v>
      </c>
      <c r="Y75" s="1"/>
      <c r="Z75" s="5">
        <f t="shared" ref="Z75:Z83" si="55">IF(T75=0,0,X75/T75)</f>
        <v>0</v>
      </c>
    </row>
    <row r="76" spans="1:26" s="24" customFormat="1" hidden="1" outlineLevel="2" x14ac:dyDescent="0.25">
      <c r="A76" s="29"/>
      <c r="B76" s="11" t="str">
        <f>CONCATENATE("          ", "6258", " - ", "MEMBERSHIP DUES")</f>
        <v xml:space="preserve">          6258 - MEMBERSHIP DUES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-120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-120</v>
      </c>
      <c r="Y76" s="2"/>
      <c r="Z76" s="7">
        <f t="shared" si="55"/>
        <v>0</v>
      </c>
    </row>
    <row r="77" spans="1:26" s="28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SUM(OSRRefD22_18x_0)</f>
        <v>5953.17</v>
      </c>
      <c r="E77" s="1"/>
      <c r="F77" s="5">
        <f t="shared" si="48"/>
        <v>0</v>
      </c>
      <c r="G77" s="1"/>
      <c r="H77" s="1">
        <f>SUM(OSRRefH22_18x_0)</f>
        <v>20355.759999999998</v>
      </c>
      <c r="I77" s="1"/>
      <c r="J77" s="5">
        <f t="shared" si="49"/>
        <v>0</v>
      </c>
      <c r="K77" s="1"/>
      <c r="L77" s="1">
        <f t="shared" si="50"/>
        <v>-14402.589999999998</v>
      </c>
      <c r="M77" s="1"/>
      <c r="N77" s="5">
        <f t="shared" si="51"/>
        <v>-0.7075437124430628</v>
      </c>
      <c r="O77" s="14"/>
      <c r="P77" s="1">
        <f>SUM(OSRRefP22_18x_0)</f>
        <v>13397.98</v>
      </c>
      <c r="Q77" s="1"/>
      <c r="R77" s="5">
        <f t="shared" si="52"/>
        <v>0</v>
      </c>
      <c r="S77" s="1"/>
      <c r="T77" s="1">
        <f>SUM(OSRRefT22_18x_0)</f>
        <v>30190.86</v>
      </c>
      <c r="U77" s="1"/>
      <c r="V77" s="5">
        <f t="shared" si="53"/>
        <v>0</v>
      </c>
      <c r="W77" s="1"/>
      <c r="X77" s="1">
        <f t="shared" si="54"/>
        <v>-16792.88</v>
      </c>
      <c r="Y77" s="1"/>
      <c r="Z77" s="5">
        <f t="shared" si="55"/>
        <v>-0.55622396977098365</v>
      </c>
    </row>
    <row r="78" spans="1:26" s="24" customFormat="1" hidden="1" outlineLevel="2" x14ac:dyDescent="0.25">
      <c r="A78" s="29"/>
      <c r="B78" s="11" t="str">
        <f>CONCATENATE("          ", "6234", " - ", "EXPENDABLE SUPPLIES &amp; EQUIPMEN")</f>
        <v xml:space="preserve">          6234 - EXPENDABLE SUPPLIES &amp; EQUIPMEN</v>
      </c>
      <c r="C78" s="11"/>
      <c r="D78" s="6">
        <v>1194.8900000000001</v>
      </c>
      <c r="E78" s="2"/>
      <c r="F78" s="7">
        <f t="shared" si="48"/>
        <v>0</v>
      </c>
      <c r="G78" s="2"/>
      <c r="H78" s="6">
        <v>101.34</v>
      </c>
      <c r="I78" s="2"/>
      <c r="J78" s="7">
        <f t="shared" si="49"/>
        <v>0</v>
      </c>
      <c r="K78" s="2"/>
      <c r="L78" s="6">
        <f t="shared" si="50"/>
        <v>1093.5500000000002</v>
      </c>
      <c r="M78" s="2"/>
      <c r="N78" s="7">
        <f t="shared" si="51"/>
        <v>10.790901914347742</v>
      </c>
      <c r="O78" s="11"/>
      <c r="P78" s="6">
        <v>1194.8900000000001</v>
      </c>
      <c r="Q78" s="2"/>
      <c r="R78" s="7">
        <f t="shared" si="52"/>
        <v>0</v>
      </c>
      <c r="S78" s="2"/>
      <c r="T78" s="6">
        <v>101.34</v>
      </c>
      <c r="U78" s="2"/>
      <c r="V78" s="7">
        <f t="shared" si="53"/>
        <v>0</v>
      </c>
      <c r="W78" s="2"/>
      <c r="X78" s="6">
        <f t="shared" si="54"/>
        <v>1093.5500000000002</v>
      </c>
      <c r="Y78" s="2"/>
      <c r="Z78" s="7">
        <f t="shared" si="55"/>
        <v>10.790901914347742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48"/>
        <v>0</v>
      </c>
      <c r="G79" s="2"/>
      <c r="H79" s="6">
        <v>16805.12</v>
      </c>
      <c r="I79" s="2"/>
      <c r="J79" s="7">
        <f t="shared" si="49"/>
        <v>0</v>
      </c>
      <c r="K79" s="2"/>
      <c r="L79" s="6">
        <f t="shared" si="50"/>
        <v>-16805.12</v>
      </c>
      <c r="M79" s="2"/>
      <c r="N79" s="7">
        <f t="shared" si="51"/>
        <v>-1</v>
      </c>
      <c r="O79" s="11"/>
      <c r="P79" s="6">
        <v>3430.32</v>
      </c>
      <c r="Q79" s="2"/>
      <c r="R79" s="7">
        <f t="shared" si="52"/>
        <v>0</v>
      </c>
      <c r="S79" s="2"/>
      <c r="T79" s="6">
        <v>23917.5</v>
      </c>
      <c r="U79" s="2"/>
      <c r="V79" s="7">
        <f t="shared" si="53"/>
        <v>0</v>
      </c>
      <c r="W79" s="2"/>
      <c r="X79" s="6">
        <f t="shared" si="54"/>
        <v>-20487.18</v>
      </c>
      <c r="Y79" s="2"/>
      <c r="Z79" s="7">
        <f t="shared" si="55"/>
        <v>-0.85657698338037003</v>
      </c>
    </row>
    <row r="80" spans="1:26" s="24" customFormat="1" hidden="1" outlineLevel="2" x14ac:dyDescent="0.25">
      <c r="A80" s="29"/>
      <c r="B80" s="11" t="str">
        <f>CONCATENATE("          ", "6237", " - ", "JANITORIAL SUPPLIES")</f>
        <v xml:space="preserve">          6237 - JANITORIAL SUPPLIES</v>
      </c>
      <c r="C80" s="11"/>
      <c r="D80" s="6">
        <v>1303.78</v>
      </c>
      <c r="E80" s="2"/>
      <c r="F80" s="7">
        <f t="shared" si="48"/>
        <v>0</v>
      </c>
      <c r="G80" s="2"/>
      <c r="H80" s="6">
        <v>1056.6199999999999</v>
      </c>
      <c r="I80" s="2"/>
      <c r="J80" s="7">
        <f t="shared" si="49"/>
        <v>0</v>
      </c>
      <c r="K80" s="2"/>
      <c r="L80" s="6">
        <f t="shared" si="50"/>
        <v>247.16000000000008</v>
      </c>
      <c r="M80" s="2"/>
      <c r="N80" s="7">
        <f t="shared" si="51"/>
        <v>0.23391569343756516</v>
      </c>
      <c r="O80" s="11"/>
      <c r="P80" s="6">
        <v>3299.3</v>
      </c>
      <c r="Q80" s="2"/>
      <c r="R80" s="7">
        <f t="shared" si="52"/>
        <v>0</v>
      </c>
      <c r="S80" s="2"/>
      <c r="T80" s="6">
        <v>1056.6199999999999</v>
      </c>
      <c r="U80" s="2"/>
      <c r="V80" s="7">
        <f t="shared" si="53"/>
        <v>0</v>
      </c>
      <c r="W80" s="2"/>
      <c r="X80" s="6">
        <f t="shared" si="54"/>
        <v>2242.6800000000003</v>
      </c>
      <c r="Y80" s="2"/>
      <c r="Z80" s="7">
        <f t="shared" si="55"/>
        <v>2.1225038329768511</v>
      </c>
    </row>
    <row r="81" spans="1:26" s="24" customFormat="1" hidden="1" outlineLevel="2" x14ac:dyDescent="0.25">
      <c r="A81" s="29"/>
      <c r="B81" s="11" t="str">
        <f>CONCATENATE("          ", "6241", " - ", "OFFICE EXPENSE")</f>
        <v xml:space="preserve">          6241 - OFFICE EXPENSE</v>
      </c>
      <c r="C81" s="11"/>
      <c r="D81" s="6">
        <v>589.67999999999995</v>
      </c>
      <c r="E81" s="2"/>
      <c r="F81" s="7">
        <f t="shared" si="48"/>
        <v>0</v>
      </c>
      <c r="G81" s="2"/>
      <c r="H81" s="6">
        <v>157.15</v>
      </c>
      <c r="I81" s="2"/>
      <c r="J81" s="7">
        <f t="shared" si="49"/>
        <v>0</v>
      </c>
      <c r="K81" s="2"/>
      <c r="L81" s="6">
        <f t="shared" si="50"/>
        <v>432.53</v>
      </c>
      <c r="M81" s="2"/>
      <c r="N81" s="7">
        <f t="shared" si="51"/>
        <v>2.7523385300668148</v>
      </c>
      <c r="O81" s="11"/>
      <c r="P81" s="6">
        <v>693.46</v>
      </c>
      <c r="Q81" s="2"/>
      <c r="R81" s="7">
        <f t="shared" si="52"/>
        <v>0</v>
      </c>
      <c r="S81" s="2"/>
      <c r="T81" s="6">
        <v>2221.9499999999998</v>
      </c>
      <c r="U81" s="2"/>
      <c r="V81" s="7">
        <f t="shared" si="53"/>
        <v>0</v>
      </c>
      <c r="W81" s="2"/>
      <c r="X81" s="6">
        <f t="shared" si="54"/>
        <v>-1528.4899999999998</v>
      </c>
      <c r="Y81" s="2"/>
      <c r="Z81" s="7">
        <f t="shared" si="55"/>
        <v>-0.68790476833412084</v>
      </c>
    </row>
    <row r="82" spans="1:26" s="24" customFormat="1" hidden="1" outlineLevel="2" x14ac:dyDescent="0.25">
      <c r="A82" s="29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48"/>
        <v>0</v>
      </c>
      <c r="G82" s="2"/>
      <c r="H82" s="6"/>
      <c r="I82" s="2"/>
      <c r="J82" s="7">
        <f t="shared" si="49"/>
        <v>0</v>
      </c>
      <c r="K82" s="2"/>
      <c r="L82" s="6">
        <f t="shared" si="50"/>
        <v>0</v>
      </c>
      <c r="M82" s="2"/>
      <c r="N82" s="7">
        <f t="shared" si="51"/>
        <v>0</v>
      </c>
      <c r="O82" s="11"/>
      <c r="P82" s="6">
        <v>335.32</v>
      </c>
      <c r="Q82" s="2"/>
      <c r="R82" s="7">
        <f t="shared" si="52"/>
        <v>0</v>
      </c>
      <c r="S82" s="2"/>
      <c r="T82" s="6">
        <v>68.66</v>
      </c>
      <c r="U82" s="2"/>
      <c r="V82" s="7">
        <f t="shared" si="53"/>
        <v>0</v>
      </c>
      <c r="W82" s="2"/>
      <c r="X82" s="6">
        <f t="shared" si="54"/>
        <v>266.65999999999997</v>
      </c>
      <c r="Y82" s="2"/>
      <c r="Z82" s="7">
        <f t="shared" si="55"/>
        <v>3.8837751237984266</v>
      </c>
    </row>
    <row r="83" spans="1:26" s="24" customFormat="1" hidden="1" outlineLevel="2" x14ac:dyDescent="0.25">
      <c r="A83" s="29"/>
      <c r="B83" s="11" t="str">
        <f>CONCATENATE("          ", "6247", " - ", "STORE SUPPLIES")</f>
        <v xml:space="preserve">          6247 - STORE SUPPLIES</v>
      </c>
      <c r="C83" s="11"/>
      <c r="D83" s="6">
        <v>2864.82</v>
      </c>
      <c r="E83" s="2"/>
      <c r="F83" s="7">
        <f t="shared" si="48"/>
        <v>0</v>
      </c>
      <c r="G83" s="2"/>
      <c r="H83" s="6">
        <v>2235.5300000000002</v>
      </c>
      <c r="I83" s="2"/>
      <c r="J83" s="7">
        <f t="shared" si="49"/>
        <v>0</v>
      </c>
      <c r="K83" s="2"/>
      <c r="L83" s="6">
        <f t="shared" si="50"/>
        <v>629.29</v>
      </c>
      <c r="M83" s="2"/>
      <c r="N83" s="7">
        <f t="shared" si="51"/>
        <v>0.28149476857836842</v>
      </c>
      <c r="O83" s="11"/>
      <c r="P83" s="6">
        <v>4444.6899999999996</v>
      </c>
      <c r="Q83" s="2"/>
      <c r="R83" s="7">
        <f t="shared" si="52"/>
        <v>0</v>
      </c>
      <c r="S83" s="2"/>
      <c r="T83" s="6">
        <v>2824.79</v>
      </c>
      <c r="U83" s="2"/>
      <c r="V83" s="7">
        <f t="shared" si="53"/>
        <v>0</v>
      </c>
      <c r="W83" s="2"/>
      <c r="X83" s="6">
        <f t="shared" si="54"/>
        <v>1619.8999999999996</v>
      </c>
      <c r="Y83" s="2"/>
      <c r="Z83" s="7">
        <f t="shared" si="55"/>
        <v>0.57345855798130119</v>
      </c>
    </row>
    <row r="84" spans="1:26" s="28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SUM(OSRRefD22_19x_0)</f>
        <v>739.5</v>
      </c>
      <c r="E84" s="1"/>
      <c r="F84" s="5">
        <f t="shared" ref="F84:F90" si="56">IF(D$12=0,0,D84/D$12)</f>
        <v>0</v>
      </c>
      <c r="G84" s="1"/>
      <c r="H84" s="1">
        <f>SUM(OSRRefH22_19x_0)</f>
        <v>680.45</v>
      </c>
      <c r="I84" s="1"/>
      <c r="J84" s="5">
        <f t="shared" ref="J84:J90" si="57">IF(H$12=0,0,H84/H$12)</f>
        <v>0</v>
      </c>
      <c r="K84" s="1"/>
      <c r="L84" s="1">
        <f t="shared" ref="L84:L90" si="58">+D84-H84</f>
        <v>59.049999999999955</v>
      </c>
      <c r="M84" s="1"/>
      <c r="N84" s="5">
        <f t="shared" ref="N84:N90" si="59">IF(H84=0,0,L84/H84)</f>
        <v>8.6780806819016759E-2</v>
      </c>
      <c r="O84" s="14"/>
      <c r="P84" s="1">
        <f>SUM(OSRRefP22_19x_0)</f>
        <v>2384.8000000000002</v>
      </c>
      <c r="Q84" s="1"/>
      <c r="R84" s="5">
        <f t="shared" ref="R84:R90" si="60">IF(P$12=0,0,P84/P$12)</f>
        <v>0</v>
      </c>
      <c r="S84" s="1"/>
      <c r="T84" s="1">
        <f>SUM(OSRRefT22_19x_0)</f>
        <v>2654.13</v>
      </c>
      <c r="U84" s="1"/>
      <c r="V84" s="5">
        <f t="shared" ref="V84:V90" si="61">IF(T$12=0,0,T84/T$12)</f>
        <v>0</v>
      </c>
      <c r="W84" s="1"/>
      <c r="X84" s="1">
        <f t="shared" ref="X84:X90" si="62">+P84-T84</f>
        <v>-269.32999999999993</v>
      </c>
      <c r="Y84" s="1"/>
      <c r="Z84" s="5">
        <f t="shared" ref="Z84:Z90" si="63">IF(T84=0,0,X84/T84)</f>
        <v>-0.10147581316664968</v>
      </c>
    </row>
    <row r="85" spans="1:26" s="24" customFormat="1" hidden="1" outlineLevel="2" x14ac:dyDescent="0.25">
      <c r="A85" s="29"/>
      <c r="B85" s="11" t="str">
        <f>CONCATENATE("          ", "6309", " - ", "TELEPHONE")</f>
        <v xml:space="preserve">          6309 - TELEPHONE</v>
      </c>
      <c r="C85" s="11"/>
      <c r="D85" s="6">
        <v>739.5</v>
      </c>
      <c r="E85" s="2"/>
      <c r="F85" s="7">
        <f t="shared" si="56"/>
        <v>0</v>
      </c>
      <c r="G85" s="2"/>
      <c r="H85" s="6">
        <v>680.45</v>
      </c>
      <c r="I85" s="2"/>
      <c r="J85" s="7">
        <f t="shared" si="57"/>
        <v>0</v>
      </c>
      <c r="K85" s="2"/>
      <c r="L85" s="6">
        <f t="shared" si="58"/>
        <v>59.049999999999955</v>
      </c>
      <c r="M85" s="2"/>
      <c r="N85" s="7">
        <f t="shared" si="59"/>
        <v>8.6780806819016759E-2</v>
      </c>
      <c r="O85" s="11"/>
      <c r="P85" s="6">
        <v>2384.8000000000002</v>
      </c>
      <c r="Q85" s="2"/>
      <c r="R85" s="7">
        <f t="shared" si="60"/>
        <v>0</v>
      </c>
      <c r="S85" s="2"/>
      <c r="T85" s="6">
        <v>2654.13</v>
      </c>
      <c r="U85" s="2"/>
      <c r="V85" s="7">
        <f t="shared" si="61"/>
        <v>0</v>
      </c>
      <c r="W85" s="2"/>
      <c r="X85" s="6">
        <f t="shared" si="62"/>
        <v>-269.32999999999993</v>
      </c>
      <c r="Y85" s="2"/>
      <c r="Z85" s="7">
        <f t="shared" si="63"/>
        <v>-0.10147581316664968</v>
      </c>
    </row>
    <row r="86" spans="1:26" s="28" customFormat="1" outlineLevel="1" collapsed="1" x14ac:dyDescent="0.25">
      <c r="A86" s="27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SUM(OSRRefD22_20x_0)</f>
        <v>0</v>
      </c>
      <c r="E86" s="1"/>
      <c r="F86" s="5">
        <f t="shared" si="56"/>
        <v>0</v>
      </c>
      <c r="G86" s="1"/>
      <c r="H86" s="1">
        <f>SUM(OSRRefH22_20x_0)</f>
        <v>0</v>
      </c>
      <c r="I86" s="1"/>
      <c r="J86" s="5">
        <f t="shared" si="57"/>
        <v>0</v>
      </c>
      <c r="K86" s="1"/>
      <c r="L86" s="1">
        <f t="shared" si="58"/>
        <v>0</v>
      </c>
      <c r="M86" s="1"/>
      <c r="N86" s="5">
        <f t="shared" si="59"/>
        <v>0</v>
      </c>
      <c r="O86" s="14"/>
      <c r="P86" s="1">
        <f>SUM(OSRRefP22_20x_0)</f>
        <v>595</v>
      </c>
      <c r="Q86" s="1"/>
      <c r="R86" s="5">
        <f t="shared" si="60"/>
        <v>0</v>
      </c>
      <c r="S86" s="1"/>
      <c r="T86" s="1">
        <f>SUM(OSRRefT22_20x_0)</f>
        <v>131.63</v>
      </c>
      <c r="U86" s="1"/>
      <c r="V86" s="5">
        <f t="shared" si="61"/>
        <v>0</v>
      </c>
      <c r="W86" s="1"/>
      <c r="X86" s="1">
        <f t="shared" si="62"/>
        <v>463.37</v>
      </c>
      <c r="Y86" s="1"/>
      <c r="Z86" s="5">
        <f t="shared" si="63"/>
        <v>3.5202461444959359</v>
      </c>
    </row>
    <row r="87" spans="1:26" s="24" customFormat="1" hidden="1" outlineLevel="2" x14ac:dyDescent="0.25">
      <c r="A87" s="29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1"/>
      <c r="P87" s="6">
        <v>595</v>
      </c>
      <c r="Q87" s="2"/>
      <c r="R87" s="7">
        <f t="shared" si="60"/>
        <v>0</v>
      </c>
      <c r="S87" s="2"/>
      <c r="T87" s="6">
        <v>131.63</v>
      </c>
      <c r="U87" s="2"/>
      <c r="V87" s="7">
        <f t="shared" si="61"/>
        <v>0</v>
      </c>
      <c r="W87" s="2"/>
      <c r="X87" s="6">
        <f t="shared" si="62"/>
        <v>463.37</v>
      </c>
      <c r="Y87" s="2"/>
      <c r="Z87" s="7">
        <f t="shared" si="63"/>
        <v>3.5202461444959359</v>
      </c>
    </row>
    <row r="88" spans="1:26" s="28" customFormat="1" outlineLevel="1" collapsed="1" x14ac:dyDescent="0.25">
      <c r="A88" s="27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SUM(OSRRefD22_21x_0)</f>
        <v>50</v>
      </c>
      <c r="E88" s="1"/>
      <c r="F88" s="5">
        <f t="shared" si="56"/>
        <v>0</v>
      </c>
      <c r="G88" s="1"/>
      <c r="H88" s="1">
        <f>SUM(OSRRefH22_21x_0)</f>
        <v>0</v>
      </c>
      <c r="I88" s="1"/>
      <c r="J88" s="5">
        <f t="shared" si="57"/>
        <v>0</v>
      </c>
      <c r="K88" s="1"/>
      <c r="L88" s="1">
        <f t="shared" si="58"/>
        <v>50</v>
      </c>
      <c r="M88" s="1"/>
      <c r="N88" s="5">
        <f t="shared" si="59"/>
        <v>0</v>
      </c>
      <c r="O88" s="14"/>
      <c r="P88" s="1">
        <f>SUM(OSRRefP22_21x_0)</f>
        <v>545</v>
      </c>
      <c r="Q88" s="1"/>
      <c r="R88" s="5">
        <f t="shared" si="60"/>
        <v>0</v>
      </c>
      <c r="S88" s="1"/>
      <c r="T88" s="1">
        <f>SUM(OSRRefT22_21x_0)</f>
        <v>59.89</v>
      </c>
      <c r="U88" s="1"/>
      <c r="V88" s="5">
        <f t="shared" si="61"/>
        <v>0</v>
      </c>
      <c r="W88" s="1"/>
      <c r="X88" s="1">
        <f t="shared" si="62"/>
        <v>485.11</v>
      </c>
      <c r="Y88" s="1"/>
      <c r="Z88" s="5">
        <f t="shared" si="63"/>
        <v>8.1000166972783436</v>
      </c>
    </row>
    <row r="89" spans="1:26" s="24" customFormat="1" hidden="1" outlineLevel="2" x14ac:dyDescent="0.25">
      <c r="A89" s="29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6"/>
        <v>0</v>
      </c>
      <c r="G89" s="2"/>
      <c r="H89" s="6"/>
      <c r="I89" s="2"/>
      <c r="J89" s="7">
        <f t="shared" si="57"/>
        <v>0</v>
      </c>
      <c r="K89" s="2"/>
      <c r="L89" s="6">
        <f t="shared" si="58"/>
        <v>0</v>
      </c>
      <c r="M89" s="2"/>
      <c r="N89" s="7">
        <f t="shared" si="59"/>
        <v>0</v>
      </c>
      <c r="O89" s="11"/>
      <c r="P89" s="6">
        <v>495</v>
      </c>
      <c r="Q89" s="2"/>
      <c r="R89" s="7">
        <f t="shared" si="60"/>
        <v>0</v>
      </c>
      <c r="S89" s="2"/>
      <c r="T89" s="6"/>
      <c r="U89" s="2"/>
      <c r="V89" s="7">
        <f t="shared" si="61"/>
        <v>0</v>
      </c>
      <c r="W89" s="2"/>
      <c r="X89" s="6">
        <f t="shared" si="62"/>
        <v>495</v>
      </c>
      <c r="Y89" s="2"/>
      <c r="Z89" s="7">
        <f t="shared" si="63"/>
        <v>0</v>
      </c>
    </row>
    <row r="90" spans="1:26" s="24" customFormat="1" hidden="1" outlineLevel="2" x14ac:dyDescent="0.25">
      <c r="A90" s="29"/>
      <c r="B90" s="11" t="str">
        <f>CONCATENATE("          ", "6298", " - ", "VEHICLE MILEAGE")</f>
        <v xml:space="preserve">          6298 - VEHICLE MILEAGE</v>
      </c>
      <c r="C90" s="11"/>
      <c r="D90" s="6">
        <v>50</v>
      </c>
      <c r="E90" s="2"/>
      <c r="F90" s="7">
        <f t="shared" si="56"/>
        <v>0</v>
      </c>
      <c r="G90" s="2"/>
      <c r="H90" s="6"/>
      <c r="I90" s="2"/>
      <c r="J90" s="7">
        <f t="shared" si="57"/>
        <v>0</v>
      </c>
      <c r="K90" s="2"/>
      <c r="L90" s="6">
        <f t="shared" si="58"/>
        <v>50</v>
      </c>
      <c r="M90" s="2"/>
      <c r="N90" s="7">
        <f t="shared" si="59"/>
        <v>0</v>
      </c>
      <c r="O90" s="11"/>
      <c r="P90" s="6">
        <v>50</v>
      </c>
      <c r="Q90" s="2"/>
      <c r="R90" s="7">
        <f t="shared" si="60"/>
        <v>0</v>
      </c>
      <c r="S90" s="2"/>
      <c r="T90" s="6">
        <v>59.89</v>
      </c>
      <c r="U90" s="2"/>
      <c r="V90" s="7">
        <f t="shared" si="61"/>
        <v>0</v>
      </c>
      <c r="W90" s="2"/>
      <c r="X90" s="6">
        <f t="shared" si="62"/>
        <v>-9.89</v>
      </c>
      <c r="Y90" s="2"/>
      <c r="Z90" s="7">
        <f t="shared" si="63"/>
        <v>-0.16513608281850059</v>
      </c>
    </row>
    <row r="91" spans="1:26" s="28" customFormat="1" outlineLevel="1" collapsed="1" x14ac:dyDescent="0.25">
      <c r="A91" s="27"/>
      <c r="B91" s="14" t="str">
        <f>CONCATENATE("     ","Utilities                                         ")</f>
        <v xml:space="preserve">     Utilities                                         </v>
      </c>
      <c r="C91" s="14"/>
      <c r="D91" s="1">
        <f>SUM(OSRRefD22_22x_0)</f>
        <v>6000</v>
      </c>
      <c r="E91" s="1"/>
      <c r="F91" s="5">
        <f t="shared" ref="F91:F92" si="64">IF(D$12=0,0,D91/D$12)</f>
        <v>0</v>
      </c>
      <c r="G91" s="1"/>
      <c r="H91" s="1">
        <f>SUM(OSRRefH22_22x_0)</f>
        <v>5937</v>
      </c>
      <c r="I91" s="1"/>
      <c r="J91" s="5">
        <f t="shared" ref="J91:J92" si="65">IF(H$12=0,0,H91/H$12)</f>
        <v>0</v>
      </c>
      <c r="K91" s="1"/>
      <c r="L91" s="1">
        <f t="shared" ref="L91:L92" si="66">+D91-H91</f>
        <v>63</v>
      </c>
      <c r="M91" s="1"/>
      <c r="N91" s="5">
        <f t="shared" ref="N91:N92" si="67">IF(H91=0,0,L91/H91)</f>
        <v>1.0611419909044972E-2</v>
      </c>
      <c r="O91" s="14"/>
      <c r="P91" s="1">
        <f>SUM(OSRRefP22_22x_0)</f>
        <v>24000</v>
      </c>
      <c r="Q91" s="1"/>
      <c r="R91" s="5">
        <f t="shared" ref="R91:R92" si="68">IF(P$12=0,0,P91/P$12)</f>
        <v>0</v>
      </c>
      <c r="S91" s="1"/>
      <c r="T91" s="1">
        <f>SUM(OSRRefT22_22x_0)</f>
        <v>24336</v>
      </c>
      <c r="U91" s="1"/>
      <c r="V91" s="5">
        <f t="shared" ref="V91:V92" si="69">IF(T$12=0,0,T91/T$12)</f>
        <v>0</v>
      </c>
      <c r="W91" s="1"/>
      <c r="X91" s="1">
        <f t="shared" ref="X91:X92" si="70">+P91-T91</f>
        <v>-336</v>
      </c>
      <c r="Y91" s="1"/>
      <c r="Z91" s="5">
        <f t="shared" ref="Z91:Z92" si="71">IF(T91=0,0,X91/T91)</f>
        <v>-1.3806706114398421E-2</v>
      </c>
    </row>
    <row r="92" spans="1:26" s="24" customFormat="1" hidden="1" outlineLevel="2" x14ac:dyDescent="0.25">
      <c r="A92" s="29"/>
      <c r="B92" s="11" t="str">
        <f>CONCATENATE("          ", "6274", " - ", "UTILITIES")</f>
        <v xml:space="preserve">          6274 - UTILITIES</v>
      </c>
      <c r="C92" s="11"/>
      <c r="D92" s="6">
        <v>6000</v>
      </c>
      <c r="E92" s="2"/>
      <c r="F92" s="7">
        <f t="shared" si="64"/>
        <v>0</v>
      </c>
      <c r="G92" s="2"/>
      <c r="H92" s="6">
        <v>5937</v>
      </c>
      <c r="I92" s="2"/>
      <c r="J92" s="7">
        <f t="shared" si="65"/>
        <v>0</v>
      </c>
      <c r="K92" s="2"/>
      <c r="L92" s="6">
        <f t="shared" si="66"/>
        <v>63</v>
      </c>
      <c r="M92" s="2"/>
      <c r="N92" s="7">
        <f t="shared" si="67"/>
        <v>1.0611419909044972E-2</v>
      </c>
      <c r="O92" s="11"/>
      <c r="P92" s="6">
        <v>24000</v>
      </c>
      <c r="Q92" s="2"/>
      <c r="R92" s="7">
        <f t="shared" si="68"/>
        <v>0</v>
      </c>
      <c r="S92" s="2"/>
      <c r="T92" s="6">
        <v>24336</v>
      </c>
      <c r="U92" s="2"/>
      <c r="V92" s="7">
        <f t="shared" si="69"/>
        <v>0</v>
      </c>
      <c r="W92" s="2"/>
      <c r="X92" s="6">
        <f t="shared" si="70"/>
        <v>-336</v>
      </c>
      <c r="Y92" s="2"/>
      <c r="Z92" s="7">
        <f t="shared" si="71"/>
        <v>-1.3806706114398421E-2</v>
      </c>
    </row>
    <row r="93" spans="1:26" s="56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5" t="s">
        <v>292</v>
      </c>
      <c r="C94" s="10"/>
      <c r="D94" s="4">
        <f>SUM(OSRRefD25x_0)</f>
        <v>9773.49</v>
      </c>
      <c r="E94" s="4"/>
      <c r="F94" s="12">
        <f t="shared" ref="F94:F95" si="72">IF(D$12=0,0,D94/D$12)</f>
        <v>0</v>
      </c>
      <c r="G94" s="4"/>
      <c r="H94" s="4">
        <f>SUM(OSRRefH25x_0)</f>
        <v>2561.17</v>
      </c>
      <c r="I94" s="4"/>
      <c r="J94" s="12">
        <f t="shared" ref="J94:J95" si="73">IF(H$12=0,0,H94/H$12)</f>
        <v>0</v>
      </c>
      <c r="K94" s="4"/>
      <c r="L94" s="4">
        <f t="shared" ref="L94:L95" si="74">+D94-H94</f>
        <v>7212.32</v>
      </c>
      <c r="M94" s="4"/>
      <c r="N94" s="12">
        <f t="shared" ref="N94:N95" si="75">IF(H94=0,0,L94/H94)</f>
        <v>2.816025488351027</v>
      </c>
      <c r="O94" s="10"/>
      <c r="P94" s="4">
        <f>SUM(OSRRefP25x_0)</f>
        <v>78004.97</v>
      </c>
      <c r="Q94" s="4"/>
      <c r="R94" s="12">
        <f t="shared" ref="R94:R95" si="76">IF(P$12=0,0,P94/P$12)</f>
        <v>0</v>
      </c>
      <c r="S94" s="4"/>
      <c r="T94" s="4">
        <f>SUM(OSRRefT25x_0)</f>
        <v>70711.72</v>
      </c>
      <c r="U94" s="4"/>
      <c r="V94" s="12">
        <f t="shared" ref="V94:V95" si="77">IF(T$12=0,0,T94/T$12)</f>
        <v>0</v>
      </c>
      <c r="W94" s="4"/>
      <c r="X94" s="4">
        <f t="shared" ref="X94:X95" si="78">+P94-T94</f>
        <v>7293.25</v>
      </c>
      <c r="Y94" s="4"/>
      <c r="Z94" s="12">
        <f t="shared" ref="Z94:Z95" si="79">IF(T94=0,0,X94/T94)</f>
        <v>0.10314061091994368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--9773.49</f>
        <v>9773.49</v>
      </c>
      <c r="E95" s="2"/>
      <c r="F95" s="19">
        <f t="shared" si="72"/>
        <v>0</v>
      </c>
      <c r="G95" s="2"/>
      <c r="H95" s="2">
        <f>--2561.17</f>
        <v>2561.17</v>
      </c>
      <c r="I95" s="2"/>
      <c r="J95" s="19">
        <f t="shared" si="73"/>
        <v>0</v>
      </c>
      <c r="K95" s="2"/>
      <c r="L95" s="2">
        <f t="shared" si="74"/>
        <v>7212.32</v>
      </c>
      <c r="M95" s="2"/>
      <c r="N95" s="19">
        <f t="shared" si="75"/>
        <v>2.816025488351027</v>
      </c>
      <c r="O95" s="11"/>
      <c r="P95" s="2">
        <f>--78004.97</f>
        <v>78004.97</v>
      </c>
      <c r="Q95" s="2"/>
      <c r="R95" s="19">
        <f t="shared" si="76"/>
        <v>0</v>
      </c>
      <c r="S95" s="2"/>
      <c r="T95" s="2">
        <f>--70711.72</f>
        <v>70711.72</v>
      </c>
      <c r="U95" s="2"/>
      <c r="V95" s="19">
        <f t="shared" si="77"/>
        <v>0</v>
      </c>
      <c r="W95" s="2"/>
      <c r="X95" s="2">
        <f t="shared" si="78"/>
        <v>7293.25</v>
      </c>
      <c r="Y95" s="2"/>
      <c r="Z95" s="19">
        <f t="shared" si="79"/>
        <v>0.10314061091994368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276</v>
      </c>
      <c r="C97" s="26"/>
      <c r="D97" s="22">
        <f>+D17-D19+D94</f>
        <v>-136502.21</v>
      </c>
      <c r="E97" s="13"/>
      <c r="F97" s="20">
        <f>IF(D$12=0,0,D97/D$12)</f>
        <v>0</v>
      </c>
      <c r="G97" s="13"/>
      <c r="H97" s="22">
        <f>+H17-H19+H94</f>
        <v>-115924.29999999999</v>
      </c>
      <c r="I97" s="13"/>
      <c r="J97" s="20">
        <f>IF(H$12=0,0,H97/H$12)</f>
        <v>0</v>
      </c>
      <c r="K97" s="15"/>
      <c r="L97" s="22">
        <f>+D97-H97</f>
        <v>-20577.910000000003</v>
      </c>
      <c r="M97" s="15"/>
      <c r="N97" s="20">
        <f>IF(H97=0,0,L97/H97)</f>
        <v>0.17751161749521027</v>
      </c>
      <c r="O97" s="25"/>
      <c r="P97" s="22">
        <f>+P17-P19+P94</f>
        <v>-542654.94999999995</v>
      </c>
      <c r="Q97" s="13"/>
      <c r="R97" s="20">
        <f>IF(P$12=0,0,P97/P$12)</f>
        <v>0</v>
      </c>
      <c r="S97" s="13"/>
      <c r="T97" s="22">
        <f>+T17-T19+T94</f>
        <v>-464378.79000000004</v>
      </c>
      <c r="U97" s="13"/>
      <c r="V97" s="20">
        <f>IF(T$12=0,0,T97/T$12)</f>
        <v>0</v>
      </c>
      <c r="W97" s="15"/>
      <c r="X97" s="22">
        <f>+P97-T97</f>
        <v>-78276.159999999916</v>
      </c>
      <c r="Y97" s="15"/>
      <c r="Z97" s="20">
        <f>IF(T97=0,0,X97/T97)</f>
        <v>0.16856101459758727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1"/>
      <c r="B99" s="10" t="s">
        <v>127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125</v>
      </c>
      <c r="C101" s="26"/>
      <c r="D101" s="33">
        <f>+D97-D99</f>
        <v>-136502.21</v>
      </c>
      <c r="E101" s="13"/>
      <c r="F101" s="31">
        <f>IF(D$12=0,0,D101/D$12)</f>
        <v>0</v>
      </c>
      <c r="G101" s="13"/>
      <c r="H101" s="33">
        <f>+H97-H99</f>
        <v>-115924.29999999999</v>
      </c>
      <c r="I101" s="13"/>
      <c r="J101" s="31">
        <f>IF(H$12=0,0,H101/H$12)</f>
        <v>0</v>
      </c>
      <c r="K101" s="15"/>
      <c r="L101" s="33">
        <f>D101-H101</f>
        <v>-20577.910000000003</v>
      </c>
      <c r="M101" s="15"/>
      <c r="N101" s="31">
        <f>IF(H101=0,0,L101/H101)</f>
        <v>0.17751161749521027</v>
      </c>
      <c r="O101" s="25"/>
      <c r="P101" s="33">
        <f>+P97-P99</f>
        <v>-542654.94999999995</v>
      </c>
      <c r="Q101" s="13"/>
      <c r="R101" s="31">
        <f>IF(P$12=0,0,P101/P$12)</f>
        <v>0</v>
      </c>
      <c r="S101" s="13"/>
      <c r="T101" s="33">
        <f>+T97-T99</f>
        <v>-464378.79000000004</v>
      </c>
      <c r="U101" s="13"/>
      <c r="V101" s="31">
        <f>IF(T$12=0,0,T101/T$12)</f>
        <v>0</v>
      </c>
      <c r="W101" s="15"/>
      <c r="X101" s="33">
        <f>P101-T101</f>
        <v>-78276.159999999916</v>
      </c>
      <c r="Y101" s="15"/>
      <c r="Z101" s="31">
        <f>IF(T101=0,0,X101/T101)</f>
        <v>0.16856101459758727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293</v>
      </c>
      <c r="C104" s="26"/>
      <c r="D104" s="34">
        <f>SUM(D101:D103)</f>
        <v>-136502.21</v>
      </c>
      <c r="E104" s="13"/>
      <c r="F104" s="30">
        <f>IF(D$12=0,0,D104/D$12)</f>
        <v>0</v>
      </c>
      <c r="G104" s="13"/>
      <c r="H104" s="34">
        <f>SUM(H101:H103)</f>
        <v>-115924.29999999999</v>
      </c>
      <c r="I104" s="13"/>
      <c r="J104" s="30">
        <f>IF(H$12=0,0,H104/H$12)</f>
        <v>0</v>
      </c>
      <c r="K104" s="15"/>
      <c r="L104" s="34">
        <f>+D104-H104</f>
        <v>-20577.910000000003</v>
      </c>
      <c r="M104" s="15"/>
      <c r="N104" s="30">
        <f>IF(H104=0,0,L104/H104)</f>
        <v>0.17751161749521027</v>
      </c>
      <c r="O104" s="25"/>
      <c r="P104" s="34">
        <f>SUM(P101:P103)</f>
        <v>-542654.94999999995</v>
      </c>
      <c r="Q104" s="13"/>
      <c r="R104" s="30">
        <f>IF(P$12=0,0,P104/P$12)</f>
        <v>0</v>
      </c>
      <c r="S104" s="13"/>
      <c r="T104" s="34">
        <f>SUM(T101:T103)</f>
        <v>-464378.79000000004</v>
      </c>
      <c r="U104" s="13"/>
      <c r="V104" s="30">
        <f>IF(T$12=0,0,T104/T$12)</f>
        <v>0</v>
      </c>
      <c r="W104" s="15"/>
      <c r="X104" s="34">
        <f>+P104-T104</f>
        <v>-78276.159999999916</v>
      </c>
      <c r="Y104" s="15"/>
      <c r="Z104" s="30">
        <f>IF(T104=0,0,X104/T104)</f>
        <v>0.16856101459758727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61">
        <v>44517.967041516204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7" t="s">
        <v>56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8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80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25367.03</v>
      </c>
      <c r="E12" s="4"/>
      <c r="F12" s="12"/>
      <c r="G12" s="4"/>
      <c r="H12" s="4">
        <f>SUM(OSRRefH13x_0)</f>
        <v>17.899999999999999</v>
      </c>
      <c r="I12" s="4"/>
      <c r="J12" s="12"/>
      <c r="K12" s="4"/>
      <c r="L12" s="4">
        <f t="shared" ref="L12:L28" si="0">+D12-H12</f>
        <v>25349.129999999997</v>
      </c>
      <c r="M12" s="4"/>
      <c r="N12" s="12">
        <f t="shared" ref="N12:N28" si="1">IF(H12=0,0,L12/H12)</f>
        <v>1416.1525139664805</v>
      </c>
      <c r="O12" s="10"/>
      <c r="P12" s="4">
        <f>SUM(OSRRefP13x_0)</f>
        <v>67542.340000000011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8" si="2">+P12-T12</f>
        <v>46230.420000000013</v>
      </c>
      <c r="Y12" s="4"/>
      <c r="Z12" s="12">
        <f t="shared" ref="Z12:Z28" si="3">IF(T12=0,0,X12/T12)</f>
        <v>2.1692283004065338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--16412.68</f>
        <v>16412.68</v>
      </c>
      <c r="E13" s="2"/>
      <c r="F13" s="19"/>
      <c r="G13" s="2"/>
      <c r="H13" s="2">
        <f>-1.74</f>
        <v>-1.74</v>
      </c>
      <c r="I13" s="2"/>
      <c r="J13" s="19"/>
      <c r="K13" s="2"/>
      <c r="L13" s="2">
        <f t="shared" si="0"/>
        <v>16414.420000000002</v>
      </c>
      <c r="M13" s="2"/>
      <c r="N13" s="19">
        <f t="shared" si="1"/>
        <v>-9433.57471264368</v>
      </c>
      <c r="O13" s="11"/>
      <c r="P13" s="2">
        <f>--51249.05</f>
        <v>51249.05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52345.490000000005</v>
      </c>
      <c r="Y13" s="2"/>
      <c r="Z13" s="19">
        <f t="shared" si="3"/>
        <v>-47.741317354346798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4">0</f>
        <v>0</v>
      </c>
      <c r="E14" s="2"/>
      <c r="F14" s="19"/>
      <c r="G14" s="2"/>
      <c r="H14" s="2">
        <f t="shared" ref="H14:H16" si="5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--5.18</f>
        <v>5.18</v>
      </c>
      <c r="I17" s="2"/>
      <c r="J17" s="19"/>
      <c r="K17" s="2"/>
      <c r="L17" s="2">
        <f t="shared" si="0"/>
        <v>-5.18</v>
      </c>
      <c r="M17" s="2"/>
      <c r="N17" s="19">
        <f t="shared" si="1"/>
        <v>-1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>
        <f t="shared" ref="H18:H21" si="7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>
        <f t="shared" si="7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--9316.24</f>
        <v>9316.24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9316.24</v>
      </c>
      <c r="M20" s="2"/>
      <c r="N20" s="19">
        <f t="shared" si="1"/>
        <v>0</v>
      </c>
      <c r="O20" s="11"/>
      <c r="P20" s="2">
        <f>--17319.17</f>
        <v>17319.169999999998</v>
      </c>
      <c r="Q20" s="2"/>
      <c r="R20" s="19"/>
      <c r="S20" s="2"/>
      <c r="T20" s="2">
        <f t="shared" ref="T20:T21" si="8">0</f>
        <v>0</v>
      </c>
      <c r="U20" s="2"/>
      <c r="V20" s="19"/>
      <c r="W20" s="2"/>
      <c r="X20" s="2">
        <f t="shared" si="2"/>
        <v>17319.169999999998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ref="D21:D23" si="9">0</f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10">0</f>
        <v>0</v>
      </c>
      <c r="Q21" s="2"/>
      <c r="R21" s="19"/>
      <c r="S21" s="2"/>
      <c r="T21" s="2">
        <f t="shared" si="8"/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9"/>
        <v>0</v>
      </c>
      <c r="E22" s="2"/>
      <c r="F22" s="19"/>
      <c r="G22" s="2"/>
      <c r="H22" s="2">
        <f>--14.46</f>
        <v>14.46</v>
      </c>
      <c r="I22" s="2"/>
      <c r="J22" s="19"/>
      <c r="K22" s="2"/>
      <c r="L22" s="2">
        <f t="shared" si="0"/>
        <v>-14.46</v>
      </c>
      <c r="M22" s="2"/>
      <c r="N22" s="19">
        <f t="shared" si="1"/>
        <v>-1</v>
      </c>
      <c r="O22" s="11"/>
      <c r="P22" s="2">
        <f t="shared" si="10"/>
        <v>0</v>
      </c>
      <c r="Q22" s="2"/>
      <c r="R22" s="19"/>
      <c r="S22" s="2"/>
      <c r="T22" s="2">
        <f>--1847.16</f>
        <v>1847.16</v>
      </c>
      <c r="U22" s="2"/>
      <c r="V22" s="19"/>
      <c r="W22" s="2"/>
      <c r="X22" s="2">
        <f t="shared" si="2"/>
        <v>-1847.16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9"/>
        <v>0</v>
      </c>
      <c r="E23" s="2"/>
      <c r="F23" s="19"/>
      <c r="G23" s="2"/>
      <c r="H23" s="2">
        <f t="shared" ref="H23:H28" si="11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10"/>
        <v>0</v>
      </c>
      <c r="Q23" s="2"/>
      <c r="R23" s="19"/>
      <c r="S23" s="2"/>
      <c r="T23" s="2">
        <f t="shared" ref="T23:T25" si="12">0</f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"4200", " - ", "TAXABLE RETURNS")</f>
        <v xml:space="preserve">          4200 - TAXABLE RETURNS</v>
      </c>
      <c r="C24" s="11"/>
      <c r="D24" s="2">
        <f>-211.3</f>
        <v>-211.3</v>
      </c>
      <c r="E24" s="2"/>
      <c r="F24" s="19"/>
      <c r="G24" s="2"/>
      <c r="H24" s="2">
        <f t="shared" si="11"/>
        <v>0</v>
      </c>
      <c r="I24" s="2"/>
      <c r="J24" s="19"/>
      <c r="K24" s="2"/>
      <c r="L24" s="2">
        <f t="shared" si="0"/>
        <v>-211.3</v>
      </c>
      <c r="M24" s="2"/>
      <c r="N24" s="19">
        <f t="shared" si="1"/>
        <v>0</v>
      </c>
      <c r="O24" s="11"/>
      <c r="P24" s="2">
        <f>-875.29</f>
        <v>-875.29</v>
      </c>
      <c r="Q24" s="2"/>
      <c r="R24" s="19"/>
      <c r="S24" s="2"/>
      <c r="T24" s="2">
        <f t="shared" si="12"/>
        <v>0</v>
      </c>
      <c r="U24" s="2"/>
      <c r="V24" s="19"/>
      <c r="W24" s="2"/>
      <c r="X24" s="2">
        <f t="shared" si="2"/>
        <v>-875.29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"4226", " - ", "SALES RETURN TAXABLE-WRITING I")</f>
        <v xml:space="preserve">          4226 - SALES RETURN TAXABLE-WRITING I</v>
      </c>
      <c r="C25" s="11"/>
      <c r="D25" s="2">
        <f t="shared" ref="D25:D27" si="13">0</f>
        <v>0</v>
      </c>
      <c r="E25" s="2"/>
      <c r="F25" s="19"/>
      <c r="G25" s="2"/>
      <c r="H25" s="2">
        <f t="shared" si="11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14">0</f>
        <v>0</v>
      </c>
      <c r="Q25" s="2"/>
      <c r="R25" s="19"/>
      <c r="S25" s="2"/>
      <c r="T25" s="2">
        <f t="shared" si="12"/>
        <v>0</v>
      </c>
      <c r="U25" s="2"/>
      <c r="V25" s="19"/>
      <c r="W25" s="2"/>
      <c r="X25" s="2">
        <f t="shared" si="2"/>
        <v>0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"4227", " - ", "SALES RETURN TAXABLE-SCHOOL SU")</f>
        <v xml:space="preserve">          4227 - SALES RETURN TAXABLE-SCHOOL SU</v>
      </c>
      <c r="C26" s="11"/>
      <c r="D26" s="2">
        <f t="shared" si="13"/>
        <v>0</v>
      </c>
      <c r="E26" s="2"/>
      <c r="F26" s="19"/>
      <c r="G26" s="2"/>
      <c r="H26" s="2">
        <f t="shared" si="11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14"/>
        <v>0</v>
      </c>
      <c r="Q26" s="2"/>
      <c r="R26" s="19"/>
      <c r="S26" s="2"/>
      <c r="T26" s="2">
        <f>-159.97</f>
        <v>-159.97</v>
      </c>
      <c r="U26" s="2"/>
      <c r="V26" s="19"/>
      <c r="W26" s="2"/>
      <c r="X26" s="2">
        <f t="shared" si="2"/>
        <v>159.97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"4228", " - ", "SALES RETURN TAXABLE-ART/TECH")</f>
        <v xml:space="preserve">          4228 - SALES RETURN TAXABLE-ART/TECH</v>
      </c>
      <c r="C27" s="11"/>
      <c r="D27" s="2">
        <f t="shared" si="13"/>
        <v>0</v>
      </c>
      <c r="E27" s="2"/>
      <c r="F27" s="19"/>
      <c r="G27" s="2"/>
      <c r="H27" s="2">
        <f t="shared" si="11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14"/>
        <v>0</v>
      </c>
      <c r="Q27" s="2"/>
      <c r="R27" s="19"/>
      <c r="S27" s="2"/>
      <c r="T27" s="2">
        <f>-222.2</f>
        <v>-222.2</v>
      </c>
      <c r="U27" s="2"/>
      <c r="V27" s="19"/>
      <c r="W27" s="2"/>
      <c r="X27" s="2">
        <f t="shared" si="2"/>
        <v>222.2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"4500", " - ", "SALES DISCOUNT")</f>
        <v xml:space="preserve">          4500 - SALES DISCOUNT</v>
      </c>
      <c r="C28" s="11"/>
      <c r="D28" s="2">
        <f>-150.59</f>
        <v>-150.59</v>
      </c>
      <c r="E28" s="2"/>
      <c r="F28" s="19"/>
      <c r="G28" s="2"/>
      <c r="H28" s="2">
        <f t="shared" si="11"/>
        <v>0</v>
      </c>
      <c r="I28" s="2"/>
      <c r="J28" s="19"/>
      <c r="K28" s="2"/>
      <c r="L28" s="2">
        <f t="shared" si="0"/>
        <v>-150.59</v>
      </c>
      <c r="M28" s="2"/>
      <c r="N28" s="19">
        <f t="shared" si="1"/>
        <v>0</v>
      </c>
      <c r="O28" s="11"/>
      <c r="P28" s="2">
        <f>-150.59</f>
        <v>-150.59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-150.59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5" t="s">
        <v>256</v>
      </c>
      <c r="C30" s="10"/>
      <c r="D30" s="4">
        <f>SUM(OSRRefD16x_0)</f>
        <v>13841.29</v>
      </c>
      <c r="E30" s="4"/>
      <c r="F30" s="12">
        <f t="shared" ref="F30:F40" si="15">IF(D$12=0,0,D30/D$12)</f>
        <v>0.54564093628619514</v>
      </c>
      <c r="G30" s="4"/>
      <c r="H30" s="4">
        <f>SUM(OSRRefH16x_0)</f>
        <v>-4.3769432522822171E-12</v>
      </c>
      <c r="I30" s="4"/>
      <c r="J30" s="12">
        <f t="shared" ref="J30:J40" si="16">IF(H$12=0,0,H30/H$12)</f>
        <v>-2.4452196940124118E-13</v>
      </c>
      <c r="K30" s="4"/>
      <c r="L30" s="4">
        <f t="shared" ref="L30:L40" si="17">+D30-H30</f>
        <v>13841.290000000005</v>
      </c>
      <c r="M30" s="4"/>
      <c r="N30" s="12">
        <f t="shared" ref="N30:N40" si="18">IF(H30=0,0,L30/H30)</f>
        <v>-3162318815256036.5</v>
      </c>
      <c r="O30" s="10"/>
      <c r="P30" s="4">
        <f>SUM(OSRRefP16x_0)</f>
        <v>38301.46</v>
      </c>
      <c r="Q30" s="4"/>
      <c r="R30" s="12">
        <f t="shared" ref="R30:R40" si="19">IF(P$12=0,0,P30/P$12)</f>
        <v>0.56707333503695601</v>
      </c>
      <c r="S30" s="4"/>
      <c r="T30" s="4">
        <f>SUM(OSRRefT16x_0)</f>
        <v>14183.049999999994</v>
      </c>
      <c r="U30" s="4"/>
      <c r="V30" s="12">
        <f t="shared" ref="V30:V40" si="20">IF(T$12=0,0,T30/T$12)</f>
        <v>0.66549846283206748</v>
      </c>
      <c r="W30" s="4"/>
      <c r="X30" s="4">
        <f t="shared" ref="X30:X40" si="21">+P30-T30</f>
        <v>24118.410000000003</v>
      </c>
      <c r="Y30" s="4"/>
      <c r="Z30" s="12">
        <f t="shared" ref="Z30:Z40" si="22">IF(T30=0,0,X30/T30)</f>
        <v>1.7005094108812995</v>
      </c>
    </row>
    <row r="31" spans="1:26" s="24" customFormat="1" hidden="1" outlineLevel="1" x14ac:dyDescent="0.25">
      <c r="A31" s="44"/>
      <c r="B31" s="11" t="str">
        <f>CONCATENATE("          ", "5000", " - ", "PURCHASES @ COST")</f>
        <v xml:space="preserve">          5000 - PURCHASES @ COST</v>
      </c>
      <c r="C31" s="11"/>
      <c r="D31" s="2">
        <v>22158.639999999999</v>
      </c>
      <c r="E31" s="2"/>
      <c r="F31" s="19">
        <f t="shared" si="15"/>
        <v>0.8735212596823515</v>
      </c>
      <c r="G31" s="2"/>
      <c r="H31" s="2"/>
      <c r="I31" s="2"/>
      <c r="J31" s="19">
        <f t="shared" si="16"/>
        <v>0</v>
      </c>
      <c r="K31" s="2"/>
      <c r="L31" s="2">
        <f t="shared" si="17"/>
        <v>22158.639999999999</v>
      </c>
      <c r="M31" s="2"/>
      <c r="N31" s="19">
        <f t="shared" si="18"/>
        <v>0</v>
      </c>
      <c r="O31" s="11"/>
      <c r="P31" s="2">
        <v>47391.75</v>
      </c>
      <c r="Q31" s="2"/>
      <c r="R31" s="19">
        <f t="shared" si="19"/>
        <v>0.7016598773450845</v>
      </c>
      <c r="S31" s="2"/>
      <c r="T31" s="2"/>
      <c r="U31" s="2"/>
      <c r="V31" s="19">
        <f t="shared" si="20"/>
        <v>0</v>
      </c>
      <c r="W31" s="2"/>
      <c r="X31" s="2">
        <f t="shared" si="21"/>
        <v>47391.75</v>
      </c>
      <c r="Y31" s="2"/>
      <c r="Z31" s="19">
        <f t="shared" si="22"/>
        <v>0</v>
      </c>
    </row>
    <row r="32" spans="1:26" s="24" customFormat="1" hidden="1" outlineLevel="1" x14ac:dyDescent="0.25">
      <c r="A32" s="44"/>
      <c r="B32" s="11" t="str">
        <f>CONCATENATE("          ", "5026", " - ", "PURCHASES @ COST-WRITING INSTR")</f>
        <v xml:space="preserve">          5026 - PURCHASES @ COST-WRITING INSTR</v>
      </c>
      <c r="C32" s="11"/>
      <c r="D32" s="2"/>
      <c r="E32" s="2"/>
      <c r="F32" s="19">
        <f t="shared" si="15"/>
        <v>0</v>
      </c>
      <c r="G32" s="2"/>
      <c r="H32" s="2">
        <v>370.02</v>
      </c>
      <c r="I32" s="2"/>
      <c r="J32" s="19">
        <f t="shared" si="16"/>
        <v>20.67150837988827</v>
      </c>
      <c r="K32" s="2"/>
      <c r="L32" s="2">
        <f t="shared" si="17"/>
        <v>-370.02</v>
      </c>
      <c r="M32" s="2"/>
      <c r="N32" s="19">
        <f t="shared" si="18"/>
        <v>-1</v>
      </c>
      <c r="O32" s="11"/>
      <c r="P32" s="2">
        <v>0</v>
      </c>
      <c r="Q32" s="2"/>
      <c r="R32" s="19">
        <f t="shared" si="19"/>
        <v>0</v>
      </c>
      <c r="S32" s="2"/>
      <c r="T32" s="2">
        <v>370.02</v>
      </c>
      <c r="U32" s="2"/>
      <c r="V32" s="19">
        <f t="shared" si="20"/>
        <v>1.7362114722652863E-2</v>
      </c>
      <c r="W32" s="2"/>
      <c r="X32" s="2">
        <f t="shared" si="21"/>
        <v>-370.02</v>
      </c>
      <c r="Y32" s="2"/>
      <c r="Z32" s="19">
        <f t="shared" si="22"/>
        <v>-1</v>
      </c>
    </row>
    <row r="33" spans="1:26" s="24" customFormat="1" hidden="1" outlineLevel="1" x14ac:dyDescent="0.25">
      <c r="A33" s="44"/>
      <c r="B33" s="11" t="str">
        <f>CONCATENATE("          ", "5027", " - ", "PURCHASES @ COST-SCHOOL SUPPLI")</f>
        <v xml:space="preserve">          5027 - PURCHASES @ COST-SCHOOL SUPPLI</v>
      </c>
      <c r="C33" s="11"/>
      <c r="D33" s="2"/>
      <c r="E33" s="2"/>
      <c r="F33" s="19">
        <f t="shared" si="15"/>
        <v>0</v>
      </c>
      <c r="G33" s="2"/>
      <c r="H33" s="2">
        <v>895.47</v>
      </c>
      <c r="I33" s="2"/>
      <c r="J33" s="19">
        <f t="shared" si="16"/>
        <v>50.026256983240231</v>
      </c>
      <c r="K33" s="2"/>
      <c r="L33" s="2">
        <f t="shared" si="17"/>
        <v>-895.47</v>
      </c>
      <c r="M33" s="2"/>
      <c r="N33" s="19">
        <f t="shared" si="18"/>
        <v>-1</v>
      </c>
      <c r="O33" s="11"/>
      <c r="P33" s="2">
        <v>0</v>
      </c>
      <c r="Q33" s="2"/>
      <c r="R33" s="19">
        <f t="shared" si="19"/>
        <v>0</v>
      </c>
      <c r="S33" s="2"/>
      <c r="T33" s="2">
        <v>895.47</v>
      </c>
      <c r="U33" s="2"/>
      <c r="V33" s="19">
        <f t="shared" si="20"/>
        <v>4.201733114613794E-2</v>
      </c>
      <c r="W33" s="2"/>
      <c r="X33" s="2">
        <f t="shared" si="21"/>
        <v>-895.47</v>
      </c>
      <c r="Y33" s="2"/>
      <c r="Z33" s="19">
        <f t="shared" si="22"/>
        <v>-1</v>
      </c>
    </row>
    <row r="34" spans="1:26" s="24" customFormat="1" hidden="1" outlineLevel="1" x14ac:dyDescent="0.25">
      <c r="A34" s="44"/>
      <c r="B34" s="11" t="str">
        <f>CONCATENATE("          ", "5028", " - ", "PURCHASES @ COST-ART/TECH")</f>
        <v xml:space="preserve">          5028 - PURCHASES @ COST-ART/TECH</v>
      </c>
      <c r="C34" s="11"/>
      <c r="D34" s="2"/>
      <c r="E34" s="2"/>
      <c r="F34" s="19">
        <f t="shared" si="15"/>
        <v>0</v>
      </c>
      <c r="G34" s="2"/>
      <c r="H34" s="2">
        <v>41425.96</v>
      </c>
      <c r="I34" s="2"/>
      <c r="J34" s="19">
        <f t="shared" si="16"/>
        <v>2314.2994413407823</v>
      </c>
      <c r="K34" s="2"/>
      <c r="L34" s="2">
        <f t="shared" si="17"/>
        <v>-41425.96</v>
      </c>
      <c r="M34" s="2"/>
      <c r="N34" s="19">
        <f t="shared" si="18"/>
        <v>-1</v>
      </c>
      <c r="O34" s="11"/>
      <c r="P34" s="2">
        <v>0</v>
      </c>
      <c r="Q34" s="2"/>
      <c r="R34" s="19">
        <f t="shared" si="19"/>
        <v>0</v>
      </c>
      <c r="S34" s="2"/>
      <c r="T34" s="2">
        <v>41425.96</v>
      </c>
      <c r="U34" s="2"/>
      <c r="V34" s="19">
        <f t="shared" si="20"/>
        <v>1.9437929571807704</v>
      </c>
      <c r="W34" s="2"/>
      <c r="X34" s="2">
        <f t="shared" si="21"/>
        <v>-41425.96</v>
      </c>
      <c r="Y34" s="2"/>
      <c r="Z34" s="19">
        <f t="shared" si="22"/>
        <v>-1</v>
      </c>
    </row>
    <row r="35" spans="1:26" s="24" customFormat="1" hidden="1" outlineLevel="1" x14ac:dyDescent="0.25">
      <c r="A35" s="44"/>
      <c r="B35" s="11" t="str">
        <f>CONCATENATE("          ", "5031", " - ", "PURCHASES @ COST-FOOD")</f>
        <v xml:space="preserve">          5031 - PURCHASES @ COST-FOOD</v>
      </c>
      <c r="C35" s="11"/>
      <c r="D35" s="2"/>
      <c r="E35" s="2"/>
      <c r="F35" s="19">
        <f t="shared" si="15"/>
        <v>0</v>
      </c>
      <c r="G35" s="2"/>
      <c r="H35" s="2">
        <v>47.26</v>
      </c>
      <c r="I35" s="2"/>
      <c r="J35" s="19">
        <f t="shared" si="16"/>
        <v>2.6402234636871511</v>
      </c>
      <c r="K35" s="2"/>
      <c r="L35" s="2">
        <f t="shared" si="17"/>
        <v>-47.26</v>
      </c>
      <c r="M35" s="2"/>
      <c r="N35" s="19">
        <f t="shared" si="18"/>
        <v>-1</v>
      </c>
      <c r="O35" s="11"/>
      <c r="P35" s="2">
        <v>0</v>
      </c>
      <c r="Q35" s="2"/>
      <c r="R35" s="19">
        <f t="shared" si="19"/>
        <v>0</v>
      </c>
      <c r="S35" s="2"/>
      <c r="T35" s="2">
        <v>2929.67</v>
      </c>
      <c r="U35" s="2"/>
      <c r="V35" s="19">
        <f t="shared" si="20"/>
        <v>0.13746626301149781</v>
      </c>
      <c r="W35" s="2"/>
      <c r="X35" s="2">
        <f t="shared" si="21"/>
        <v>-2929.67</v>
      </c>
      <c r="Y35" s="2"/>
      <c r="Z35" s="19">
        <f t="shared" si="22"/>
        <v>-1</v>
      </c>
    </row>
    <row r="36" spans="1:26" s="24" customFormat="1" hidden="1" outlineLevel="1" x14ac:dyDescent="0.25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15"/>
        <v>0</v>
      </c>
      <c r="G36" s="2"/>
      <c r="H36" s="2"/>
      <c r="I36" s="2"/>
      <c r="J36" s="19">
        <f t="shared" si="16"/>
        <v>0</v>
      </c>
      <c r="K36" s="2"/>
      <c r="L36" s="2">
        <f t="shared" si="17"/>
        <v>0</v>
      </c>
      <c r="M36" s="2"/>
      <c r="N36" s="19">
        <f t="shared" si="18"/>
        <v>0</v>
      </c>
      <c r="O36" s="11"/>
      <c r="P36" s="2">
        <v>0</v>
      </c>
      <c r="Q36" s="2"/>
      <c r="R36" s="19">
        <f t="shared" si="19"/>
        <v>0</v>
      </c>
      <c r="S36" s="2"/>
      <c r="T36" s="2"/>
      <c r="U36" s="2"/>
      <c r="V36" s="19">
        <f t="shared" si="20"/>
        <v>0</v>
      </c>
      <c r="W36" s="2"/>
      <c r="X36" s="2">
        <f t="shared" si="21"/>
        <v>0</v>
      </c>
      <c r="Y36" s="2"/>
      <c r="Z36" s="19">
        <f t="shared" si="22"/>
        <v>0</v>
      </c>
    </row>
    <row r="37" spans="1:26" s="24" customFormat="1" hidden="1" outlineLevel="1" x14ac:dyDescent="0.25">
      <c r="A37" s="44"/>
      <c r="B37" s="11" t="str">
        <f>CONCATENATE("          ", "5200", " - ", "PURCHASES OFFSET")</f>
        <v xml:space="preserve">          5200 - PURCHASES OFFSET</v>
      </c>
      <c r="C37" s="11"/>
      <c r="D37" s="2">
        <v>-22717.1</v>
      </c>
      <c r="E37" s="2"/>
      <c r="F37" s="19">
        <f t="shared" si="15"/>
        <v>-0.89553645026634965</v>
      </c>
      <c r="G37" s="2"/>
      <c r="H37" s="2">
        <v>-42974.16</v>
      </c>
      <c r="I37" s="2"/>
      <c r="J37" s="19">
        <f t="shared" si="16"/>
        <v>-2400.7910614525144</v>
      </c>
      <c r="K37" s="2"/>
      <c r="L37" s="2">
        <f t="shared" si="17"/>
        <v>20257.060000000005</v>
      </c>
      <c r="M37" s="2"/>
      <c r="N37" s="19">
        <f t="shared" si="18"/>
        <v>-0.47137768370574323</v>
      </c>
      <c r="O37" s="11"/>
      <c r="P37" s="2">
        <v>-48143.98</v>
      </c>
      <c r="Q37" s="2"/>
      <c r="R37" s="19">
        <f t="shared" si="19"/>
        <v>-0.71279703960508323</v>
      </c>
      <c r="S37" s="2"/>
      <c r="T37" s="2">
        <v>-45863.33</v>
      </c>
      <c r="U37" s="2"/>
      <c r="V37" s="19">
        <f t="shared" si="20"/>
        <v>-2.1520036674311842</v>
      </c>
      <c r="W37" s="2"/>
      <c r="X37" s="2">
        <f t="shared" si="21"/>
        <v>-2280.6500000000015</v>
      </c>
      <c r="Y37" s="2"/>
      <c r="Z37" s="19">
        <f t="shared" si="22"/>
        <v>4.9727091338548711E-2</v>
      </c>
    </row>
    <row r="38" spans="1:26" s="24" customFormat="1" hidden="1" outlineLevel="1" x14ac:dyDescent="0.25">
      <c r="A38" s="44"/>
      <c r="B38" s="11" t="str">
        <f>CONCATENATE("          ", "5300", " - ", "COG$ OFFSET")</f>
        <v xml:space="preserve">          5300 - COG$ OFFSET</v>
      </c>
      <c r="C38" s="11"/>
      <c r="D38" s="2">
        <v>13841.29</v>
      </c>
      <c r="E38" s="2"/>
      <c r="F38" s="19">
        <f t="shared" si="15"/>
        <v>0.54564093628619514</v>
      </c>
      <c r="G38" s="2"/>
      <c r="H38" s="2"/>
      <c r="I38" s="2"/>
      <c r="J38" s="19">
        <f t="shared" si="16"/>
        <v>0</v>
      </c>
      <c r="K38" s="2"/>
      <c r="L38" s="2">
        <f t="shared" si="17"/>
        <v>13841.29</v>
      </c>
      <c r="M38" s="2"/>
      <c r="N38" s="19">
        <f t="shared" si="18"/>
        <v>0</v>
      </c>
      <c r="O38" s="11"/>
      <c r="P38" s="2">
        <v>38301.46</v>
      </c>
      <c r="Q38" s="2"/>
      <c r="R38" s="19">
        <f t="shared" si="19"/>
        <v>0.56707333503695601</v>
      </c>
      <c r="S38" s="2"/>
      <c r="T38" s="2">
        <v>14145</v>
      </c>
      <c r="U38" s="2"/>
      <c r="V38" s="19">
        <f t="shared" si="20"/>
        <v>0.66371307700103988</v>
      </c>
      <c r="W38" s="2"/>
      <c r="X38" s="2">
        <f t="shared" si="21"/>
        <v>24156.46</v>
      </c>
      <c r="Y38" s="2"/>
      <c r="Z38" s="19">
        <f t="shared" si="22"/>
        <v>1.7077737716507599</v>
      </c>
    </row>
    <row r="39" spans="1:26" s="24" customFormat="1" hidden="1" outlineLevel="1" x14ac:dyDescent="0.25">
      <c r="A39" s="44"/>
      <c r="B39" s="11" t="str">
        <f>CONCATENATE("          ", "5500", " - ", "FREIGHT-IN")</f>
        <v xml:space="preserve">          5500 - FREIGHT-IN</v>
      </c>
      <c r="C39" s="11"/>
      <c r="D39" s="2">
        <v>558.46</v>
      </c>
      <c r="E39" s="2"/>
      <c r="F39" s="19">
        <f t="shared" si="15"/>
        <v>2.2015190583998208E-2</v>
      </c>
      <c r="G39" s="2"/>
      <c r="H39" s="2"/>
      <c r="I39" s="2"/>
      <c r="J39" s="19">
        <f t="shared" si="16"/>
        <v>0</v>
      </c>
      <c r="K39" s="2"/>
      <c r="L39" s="2">
        <f t="shared" si="17"/>
        <v>558.46</v>
      </c>
      <c r="M39" s="2"/>
      <c r="N39" s="19">
        <f t="shared" si="18"/>
        <v>0</v>
      </c>
      <c r="O39" s="11"/>
      <c r="P39" s="2">
        <v>752.23</v>
      </c>
      <c r="Q39" s="2"/>
      <c r="R39" s="19">
        <f t="shared" si="19"/>
        <v>1.113716225999869E-2</v>
      </c>
      <c r="S39" s="2"/>
      <c r="T39" s="2"/>
      <c r="U39" s="2"/>
      <c r="V39" s="19">
        <f t="shared" si="20"/>
        <v>0</v>
      </c>
      <c r="W39" s="2"/>
      <c r="X39" s="2">
        <f t="shared" si="21"/>
        <v>752.23</v>
      </c>
      <c r="Y39" s="2"/>
      <c r="Z39" s="19">
        <f t="shared" si="22"/>
        <v>0</v>
      </c>
    </row>
    <row r="40" spans="1:26" s="24" customFormat="1" hidden="1" outlineLevel="1" x14ac:dyDescent="0.25">
      <c r="A40" s="44"/>
      <c r="B40" s="11" t="str">
        <f>CONCATENATE("          ", "5528", " - ", "FREIGHT-IN-ART/TECH")</f>
        <v xml:space="preserve">          5528 - FREIGHT-IN-ART/TECH</v>
      </c>
      <c r="C40" s="11"/>
      <c r="D40" s="2"/>
      <c r="E40" s="2"/>
      <c r="F40" s="19">
        <f t="shared" si="15"/>
        <v>0</v>
      </c>
      <c r="G40" s="2"/>
      <c r="H40" s="2">
        <v>235.45</v>
      </c>
      <c r="I40" s="2"/>
      <c r="J40" s="19">
        <f t="shared" si="16"/>
        <v>13.153631284916202</v>
      </c>
      <c r="K40" s="2"/>
      <c r="L40" s="2">
        <f t="shared" si="17"/>
        <v>-235.45</v>
      </c>
      <c r="M40" s="2"/>
      <c r="N40" s="19">
        <f t="shared" si="18"/>
        <v>-1</v>
      </c>
      <c r="O40" s="11"/>
      <c r="P40" s="2">
        <v>0</v>
      </c>
      <c r="Q40" s="2"/>
      <c r="R40" s="19">
        <f t="shared" si="19"/>
        <v>0</v>
      </c>
      <c r="S40" s="2"/>
      <c r="T40" s="2">
        <v>280.26</v>
      </c>
      <c r="U40" s="2"/>
      <c r="V40" s="19">
        <f t="shared" si="20"/>
        <v>1.3150387201153158E-2</v>
      </c>
      <c r="W40" s="2"/>
      <c r="X40" s="2">
        <f t="shared" si="21"/>
        <v>-280.26</v>
      </c>
      <c r="Y40" s="2"/>
      <c r="Z40" s="19">
        <f t="shared" si="22"/>
        <v>-1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6" t="s">
        <v>107</v>
      </c>
      <c r="C42" s="26"/>
      <c r="D42" s="22">
        <f>D12-D30</f>
        <v>11525.739999999998</v>
      </c>
      <c r="E42" s="13"/>
      <c r="F42" s="20">
        <f>IF(D$12=0,0,D42/D$12)</f>
        <v>0.4543590637138048</v>
      </c>
      <c r="G42" s="13"/>
      <c r="H42" s="22">
        <f>H12-H30</f>
        <v>17.900000000004376</v>
      </c>
      <c r="I42" s="13"/>
      <c r="J42" s="20">
        <f>IF(H$12=0,0,H42/H$12)</f>
        <v>1.0000000000002445</v>
      </c>
      <c r="K42" s="15"/>
      <c r="L42" s="22">
        <f>+D42-H42</f>
        <v>11507.839999999993</v>
      </c>
      <c r="M42" s="15"/>
      <c r="N42" s="20">
        <f>IF(H42=0,0,L42/H42)</f>
        <v>642.89608938531728</v>
      </c>
      <c r="O42" s="25"/>
      <c r="P42" s="22">
        <f>P12-P30</f>
        <v>29240.880000000012</v>
      </c>
      <c r="Q42" s="13"/>
      <c r="R42" s="20">
        <f>IF(P$12=0,0,P42/P$12)</f>
        <v>0.43292666496304405</v>
      </c>
      <c r="S42" s="13"/>
      <c r="T42" s="22">
        <f>T12-T30</f>
        <v>7128.8700000000044</v>
      </c>
      <c r="U42" s="13"/>
      <c r="V42" s="20">
        <f>IF(T$12=0,0,T42/T$12)</f>
        <v>0.33450153716793257</v>
      </c>
      <c r="W42" s="15"/>
      <c r="X42" s="22">
        <f>+P42-T42</f>
        <v>22112.010000000009</v>
      </c>
      <c r="Y42" s="15"/>
      <c r="Z42" s="20">
        <f>IF(T42=0,0,X42/T42)</f>
        <v>3.1017552571445397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294</v>
      </c>
      <c r="C44" s="10"/>
      <c r="D44" s="21">
        <f>SUM(OSRRefD22x_0)</f>
        <v>8618.59</v>
      </c>
      <c r="E44" s="21"/>
      <c r="F44" s="36">
        <f t="shared" ref="F44:F49" si="23">IF(D$12=0,0,D44/D$12)</f>
        <v>0.33975558037342174</v>
      </c>
      <c r="G44" s="21"/>
      <c r="H44" s="21">
        <f>SUM(OSRRefH22x_0)</f>
        <v>1424.39</v>
      </c>
      <c r="I44" s="21"/>
      <c r="J44" s="36">
        <f t="shared" ref="J44:J49" si="24">IF(H$12=0,0,H44/H$12)</f>
        <v>79.574860335195538</v>
      </c>
      <c r="K44" s="4"/>
      <c r="L44" s="21">
        <f t="shared" ref="L44:L49" si="25">+D44-H44</f>
        <v>7194.2</v>
      </c>
      <c r="M44" s="4"/>
      <c r="N44" s="36">
        <f t="shared" ref="N44:N49" si="26">IF(H44=0,0,L44/H44)</f>
        <v>5.0507234675896342</v>
      </c>
      <c r="O44" s="10"/>
      <c r="P44" s="21">
        <f>SUM(OSRRefP22x_0)</f>
        <v>14216.890000000001</v>
      </c>
      <c r="Q44" s="21"/>
      <c r="R44" s="36">
        <f t="shared" ref="R44:R49" si="27">IF(P$12=0,0,P44/P$12)</f>
        <v>0.2104885616933023</v>
      </c>
      <c r="S44" s="21"/>
      <c r="T44" s="21">
        <f>SUM(OSRRefT22x_0)</f>
        <v>11618.059999999996</v>
      </c>
      <c r="U44" s="21"/>
      <c r="V44" s="36">
        <f t="shared" ref="V44:V49" si="28">IF(T$12=0,0,T44/T$12)</f>
        <v>0.54514375053960396</v>
      </c>
      <c r="W44" s="4"/>
      <c r="X44" s="21">
        <f t="shared" ref="X44:X49" si="29">+P44-T44</f>
        <v>2598.8300000000054</v>
      </c>
      <c r="Y44" s="4"/>
      <c r="Z44" s="36">
        <f t="shared" ref="Z44:Z49" si="30">IF(T44=0,0,X44/T44)</f>
        <v>0.22368880863070137</v>
      </c>
    </row>
    <row r="45" spans="1:26" s="28" customFormat="1" outlineLevel="1" collapsed="1" x14ac:dyDescent="0.25">
      <c r="A45" s="27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130.36000000000001</v>
      </c>
      <c r="E45" s="1"/>
      <c r="F45" s="5">
        <f t="shared" si="23"/>
        <v>5.1389539887010827E-3</v>
      </c>
      <c r="G45" s="1"/>
      <c r="H45" s="1">
        <f>SUM(OSRRefH22_0x_0)</f>
        <v>214.64</v>
      </c>
      <c r="I45" s="1"/>
      <c r="J45" s="5">
        <f t="shared" si="24"/>
        <v>11.991061452513966</v>
      </c>
      <c r="K45" s="1"/>
      <c r="L45" s="1">
        <f t="shared" si="25"/>
        <v>-84.279999999999973</v>
      </c>
      <c r="M45" s="1"/>
      <c r="N45" s="5">
        <f t="shared" si="26"/>
        <v>-0.39265747297800957</v>
      </c>
      <c r="O45" s="14"/>
      <c r="P45" s="1">
        <f>SUM(OSRRefP22_0x_0)</f>
        <v>130.36000000000001</v>
      </c>
      <c r="Q45" s="1"/>
      <c r="R45" s="5">
        <f t="shared" si="27"/>
        <v>1.930048618392552E-3</v>
      </c>
      <c r="S45" s="1"/>
      <c r="T45" s="1">
        <f>SUM(OSRRefT22_0x_0)</f>
        <v>776.81</v>
      </c>
      <c r="U45" s="1"/>
      <c r="V45" s="5">
        <f t="shared" si="28"/>
        <v>3.6449554990822038E-2</v>
      </c>
      <c r="W45" s="1"/>
      <c r="X45" s="1">
        <f t="shared" si="29"/>
        <v>-646.44999999999993</v>
      </c>
      <c r="Y45" s="1"/>
      <c r="Z45" s="5">
        <f t="shared" si="30"/>
        <v>-0.83218547650004504</v>
      </c>
    </row>
    <row r="46" spans="1:26" s="24" customFormat="1" hidden="1" outlineLevel="2" x14ac:dyDescent="0.25">
      <c r="A46" s="29"/>
      <c r="B46" s="11" t="str">
        <f>CONCATENATE("          ", "6111", " - ", "F.I.C.A.")</f>
        <v xml:space="preserve">          6111 - F.I.C.A.</v>
      </c>
      <c r="C46" s="11"/>
      <c r="D46" s="6">
        <v>10.31</v>
      </c>
      <c r="E46" s="2"/>
      <c r="F46" s="7">
        <f t="shared" si="23"/>
        <v>4.0643307474308188E-4</v>
      </c>
      <c r="G46" s="2"/>
      <c r="H46" s="6">
        <v>76.819999999999993</v>
      </c>
      <c r="I46" s="2"/>
      <c r="J46" s="7">
        <f t="shared" si="24"/>
        <v>4.2916201117318433</v>
      </c>
      <c r="K46" s="2"/>
      <c r="L46" s="6">
        <f t="shared" si="25"/>
        <v>-66.509999999999991</v>
      </c>
      <c r="M46" s="2"/>
      <c r="N46" s="7">
        <f t="shared" si="26"/>
        <v>-0.86579015881280907</v>
      </c>
      <c r="O46" s="11"/>
      <c r="P46" s="6">
        <v>10.31</v>
      </c>
      <c r="Q46" s="2"/>
      <c r="R46" s="7">
        <f t="shared" si="27"/>
        <v>1.5264499275565517E-4</v>
      </c>
      <c r="S46" s="2"/>
      <c r="T46" s="6">
        <v>483.22</v>
      </c>
      <c r="U46" s="2"/>
      <c r="V46" s="7">
        <f t="shared" si="28"/>
        <v>2.2673696222583421E-2</v>
      </c>
      <c r="W46" s="2"/>
      <c r="X46" s="6">
        <f t="shared" si="29"/>
        <v>-472.91</v>
      </c>
      <c r="Y46" s="2"/>
      <c r="Z46" s="7">
        <f t="shared" si="30"/>
        <v>-0.97866396258433008</v>
      </c>
    </row>
    <row r="47" spans="1:26" s="24" customFormat="1" hidden="1" outlineLevel="2" x14ac:dyDescent="0.25">
      <c r="A47" s="29"/>
      <c r="B47" s="11" t="str">
        <f>CONCATENATE("          ", "6112", " - ", "COMPENSATION INSURANCE")</f>
        <v xml:space="preserve">          6112 - COMPENSATION INSURANCE</v>
      </c>
      <c r="C47" s="11"/>
      <c r="D47" s="6">
        <v>102.11</v>
      </c>
      <c r="E47" s="2"/>
      <c r="F47" s="7">
        <f t="shared" si="23"/>
        <v>4.0253037111557801E-3</v>
      </c>
      <c r="G47" s="2"/>
      <c r="H47" s="6">
        <v>120.84</v>
      </c>
      <c r="I47" s="2"/>
      <c r="J47" s="7">
        <f t="shared" si="24"/>
        <v>6.7508379888268166</v>
      </c>
      <c r="K47" s="2"/>
      <c r="L47" s="6">
        <f t="shared" si="25"/>
        <v>-18.730000000000004</v>
      </c>
      <c r="M47" s="2"/>
      <c r="N47" s="7">
        <f t="shared" si="26"/>
        <v>-0.15499834491890105</v>
      </c>
      <c r="O47" s="11"/>
      <c r="P47" s="6">
        <v>102.11</v>
      </c>
      <c r="Q47" s="2"/>
      <c r="R47" s="7">
        <f t="shared" si="27"/>
        <v>1.5117924549253104E-3</v>
      </c>
      <c r="S47" s="2"/>
      <c r="T47" s="6">
        <v>255.57</v>
      </c>
      <c r="U47" s="2"/>
      <c r="V47" s="7">
        <f t="shared" si="28"/>
        <v>1.1991880600152403E-2</v>
      </c>
      <c r="W47" s="2"/>
      <c r="X47" s="6">
        <f t="shared" si="29"/>
        <v>-153.45999999999998</v>
      </c>
      <c r="Y47" s="2"/>
      <c r="Z47" s="7">
        <f t="shared" si="30"/>
        <v>-0.60046171303361107</v>
      </c>
    </row>
    <row r="48" spans="1:26" s="24" customFormat="1" hidden="1" outlineLevel="2" x14ac:dyDescent="0.25">
      <c r="A48" s="29"/>
      <c r="B48" s="11" t="str">
        <f>CONCATENATE("          ", "6113", " - ", "GROUP INSURANCE")</f>
        <v xml:space="preserve">          6113 - GROUP INSURANCE</v>
      </c>
      <c r="C48" s="11"/>
      <c r="D48" s="6"/>
      <c r="E48" s="2"/>
      <c r="F48" s="7">
        <f t="shared" si="23"/>
        <v>0</v>
      </c>
      <c r="G48" s="2"/>
      <c r="H48" s="6"/>
      <c r="I48" s="2"/>
      <c r="J48" s="7">
        <f t="shared" si="24"/>
        <v>0</v>
      </c>
      <c r="K48" s="2"/>
      <c r="L48" s="6">
        <f t="shared" si="25"/>
        <v>0</v>
      </c>
      <c r="M48" s="2"/>
      <c r="N48" s="7">
        <f t="shared" si="26"/>
        <v>0</v>
      </c>
      <c r="O48" s="11"/>
      <c r="P48" s="6"/>
      <c r="Q48" s="2"/>
      <c r="R48" s="7">
        <f t="shared" si="27"/>
        <v>0</v>
      </c>
      <c r="S48" s="2"/>
      <c r="T48" s="6">
        <v>0</v>
      </c>
      <c r="U48" s="2"/>
      <c r="V48" s="7">
        <f t="shared" si="28"/>
        <v>0</v>
      </c>
      <c r="W48" s="2"/>
      <c r="X48" s="6">
        <f t="shared" si="29"/>
        <v>0</v>
      </c>
      <c r="Y48" s="2"/>
      <c r="Z48" s="7">
        <f t="shared" si="30"/>
        <v>0</v>
      </c>
    </row>
    <row r="49" spans="1:26" s="24" customFormat="1" hidden="1" outlineLevel="2" x14ac:dyDescent="0.25">
      <c r="A49" s="29"/>
      <c r="B49" s="11" t="str">
        <f>CONCATENATE("          ", "6114", " - ", "STATE UNEMPLOYMENT INSURANCE")</f>
        <v xml:space="preserve">          6114 - STATE UNEMPLOYMENT INSURANCE</v>
      </c>
      <c r="C49" s="11"/>
      <c r="D49" s="6">
        <v>17.940000000000001</v>
      </c>
      <c r="E49" s="2"/>
      <c r="F49" s="7">
        <f t="shared" si="23"/>
        <v>7.0721720280222011E-4</v>
      </c>
      <c r="G49" s="2"/>
      <c r="H49" s="6">
        <v>16.98</v>
      </c>
      <c r="I49" s="2"/>
      <c r="J49" s="7">
        <f t="shared" si="24"/>
        <v>0.94860335195530732</v>
      </c>
      <c r="K49" s="2"/>
      <c r="L49" s="6">
        <f t="shared" si="25"/>
        <v>0.96000000000000085</v>
      </c>
      <c r="M49" s="2"/>
      <c r="N49" s="7">
        <f t="shared" si="26"/>
        <v>5.6537102473498281E-2</v>
      </c>
      <c r="O49" s="11"/>
      <c r="P49" s="6">
        <v>17.940000000000001</v>
      </c>
      <c r="Q49" s="2"/>
      <c r="R49" s="7">
        <f t="shared" si="27"/>
        <v>2.6561117071158621E-4</v>
      </c>
      <c r="S49" s="2"/>
      <c r="T49" s="6">
        <v>38.020000000000003</v>
      </c>
      <c r="U49" s="2"/>
      <c r="V49" s="7">
        <f t="shared" si="28"/>
        <v>1.7839781680862169E-3</v>
      </c>
      <c r="W49" s="2"/>
      <c r="X49" s="6">
        <f t="shared" si="29"/>
        <v>-20.080000000000002</v>
      </c>
      <c r="Y49" s="2"/>
      <c r="Z49" s="7">
        <f t="shared" si="30"/>
        <v>-0.52814308258811149</v>
      </c>
    </row>
    <row r="50" spans="1:26" s="28" customFormat="1" outlineLevel="1" collapsed="1" x14ac:dyDescent="0.25">
      <c r="A50" s="27"/>
      <c r="B50" s="14" t="str">
        <f>CONCATENATE("     ","*Payroll                                          ")</f>
        <v xml:space="preserve">     *Payroll                                          </v>
      </c>
      <c r="C50" s="14"/>
      <c r="D50" s="1">
        <f>SUM(OSRRefD22_1x_0)</f>
        <v>5956.91</v>
      </c>
      <c r="E50" s="1"/>
      <c r="F50" s="5">
        <f t="shared" ref="F50:F53" si="31">IF(D$12=0,0,D50/D$12)</f>
        <v>0.23482883096681006</v>
      </c>
      <c r="G50" s="1"/>
      <c r="H50" s="1">
        <f>SUM(OSRRefH22_1x_0)</f>
        <v>891.38</v>
      </c>
      <c r="I50" s="1"/>
      <c r="J50" s="5">
        <f t="shared" ref="J50:J53" si="32">IF(H$12=0,0,H50/H$12)</f>
        <v>49.797765363128498</v>
      </c>
      <c r="K50" s="1"/>
      <c r="L50" s="1">
        <f t="shared" ref="L50:L53" si="33">+D50-H50</f>
        <v>5065.53</v>
      </c>
      <c r="M50" s="1"/>
      <c r="N50" s="5">
        <f t="shared" ref="N50:N53" si="34">IF(H50=0,0,L50/H50)</f>
        <v>5.6827952164060216</v>
      </c>
      <c r="O50" s="14"/>
      <c r="P50" s="1">
        <f>SUM(OSRRefP22_1x_0)</f>
        <v>5956.91</v>
      </c>
      <c r="Q50" s="1"/>
      <c r="R50" s="5">
        <f t="shared" ref="R50:R53" si="35">IF(P$12=0,0,P50/P$12)</f>
        <v>8.8195197264412203E-2</v>
      </c>
      <c r="S50" s="1"/>
      <c r="T50" s="1">
        <f>SUM(OSRRefT22_1x_0)</f>
        <v>8134.35</v>
      </c>
      <c r="U50" s="1"/>
      <c r="V50" s="5">
        <f t="shared" ref="V50:V53" si="36">IF(T$12=0,0,T50/T$12)</f>
        <v>0.38168076832120246</v>
      </c>
      <c r="W50" s="1"/>
      <c r="X50" s="1">
        <f t="shared" ref="X50:X53" si="37">+P50-T50</f>
        <v>-2177.4400000000005</v>
      </c>
      <c r="Y50" s="1"/>
      <c r="Z50" s="5">
        <f t="shared" ref="Z50:Z53" si="38">IF(T50=0,0,X50/T50)</f>
        <v>-0.26768457221535835</v>
      </c>
    </row>
    <row r="51" spans="1:26" s="24" customFormat="1" hidden="1" outlineLevel="2" x14ac:dyDescent="0.25">
      <c r="A51" s="29"/>
      <c r="B51" s="11" t="str">
        <f>CONCATENATE("          ", "6005", " - ", "TEMPORARY WAGES-HOURLY")</f>
        <v xml:space="preserve">          6005 - TEMPORARY WAGES-HOURLY</v>
      </c>
      <c r="C51" s="11"/>
      <c r="D51" s="6">
        <v>134.81</v>
      </c>
      <c r="E51" s="2"/>
      <c r="F51" s="7">
        <f t="shared" si="31"/>
        <v>5.3143785456949439E-3</v>
      </c>
      <c r="G51" s="2"/>
      <c r="H51" s="6">
        <v>1004.55</v>
      </c>
      <c r="I51" s="2"/>
      <c r="J51" s="7">
        <f t="shared" si="32"/>
        <v>56.120111731843579</v>
      </c>
      <c r="K51" s="2"/>
      <c r="L51" s="6">
        <f t="shared" si="33"/>
        <v>-869.74</v>
      </c>
      <c r="M51" s="2"/>
      <c r="N51" s="7">
        <f t="shared" si="34"/>
        <v>-0.86580060723707142</v>
      </c>
      <c r="O51" s="11"/>
      <c r="P51" s="6">
        <v>134.81</v>
      </c>
      <c r="Q51" s="2"/>
      <c r="R51" s="7">
        <f t="shared" si="35"/>
        <v>1.995933217593586E-3</v>
      </c>
      <c r="S51" s="2"/>
      <c r="T51" s="6">
        <v>5361</v>
      </c>
      <c r="U51" s="2"/>
      <c r="V51" s="7">
        <f t="shared" si="36"/>
        <v>0.25154936767780661</v>
      </c>
      <c r="W51" s="2"/>
      <c r="X51" s="6">
        <f t="shared" si="37"/>
        <v>-5226.1899999999996</v>
      </c>
      <c r="Y51" s="2"/>
      <c r="Z51" s="7">
        <f t="shared" si="38"/>
        <v>-0.97485357209475831</v>
      </c>
    </row>
    <row r="52" spans="1:26" s="24" customFormat="1" hidden="1" outlineLevel="2" x14ac:dyDescent="0.25">
      <c r="A52" s="29"/>
      <c r="B52" s="11" t="str">
        <f>CONCATENATE("          ", "6007", " - ", "STUDENT HOURLY")</f>
        <v xml:space="preserve">          6007 - STUDENT HOURLY</v>
      </c>
      <c r="C52" s="11"/>
      <c r="D52" s="6">
        <v>5003.49</v>
      </c>
      <c r="E52" s="2"/>
      <c r="F52" s="7">
        <f t="shared" si="31"/>
        <v>0.19724382397150947</v>
      </c>
      <c r="G52" s="2"/>
      <c r="H52" s="6">
        <v>-113.17</v>
      </c>
      <c r="I52" s="2"/>
      <c r="J52" s="7">
        <f t="shared" si="32"/>
        <v>-6.3223463687150847</v>
      </c>
      <c r="K52" s="2"/>
      <c r="L52" s="6">
        <f t="shared" si="33"/>
        <v>5116.66</v>
      </c>
      <c r="M52" s="2"/>
      <c r="N52" s="7">
        <f t="shared" si="34"/>
        <v>-45.212158699301931</v>
      </c>
      <c r="O52" s="11"/>
      <c r="P52" s="6">
        <v>5003.49</v>
      </c>
      <c r="Q52" s="2"/>
      <c r="R52" s="7">
        <f t="shared" si="35"/>
        <v>7.4079310844131233E-2</v>
      </c>
      <c r="S52" s="2"/>
      <c r="T52" s="6">
        <v>2773.35</v>
      </c>
      <c r="U52" s="2"/>
      <c r="V52" s="7">
        <f t="shared" si="36"/>
        <v>0.13013140064339582</v>
      </c>
      <c r="W52" s="2"/>
      <c r="X52" s="6">
        <f t="shared" si="37"/>
        <v>2230.14</v>
      </c>
      <c r="Y52" s="2"/>
      <c r="Z52" s="7">
        <f t="shared" si="38"/>
        <v>0.80413218670560871</v>
      </c>
    </row>
    <row r="53" spans="1:26" s="24" customFormat="1" hidden="1" outlineLevel="2" x14ac:dyDescent="0.25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6">
        <v>818.61</v>
      </c>
      <c r="E53" s="2"/>
      <c r="F53" s="7">
        <f t="shared" si="31"/>
        <v>3.2270628449605654E-2</v>
      </c>
      <c r="G53" s="2"/>
      <c r="H53" s="6"/>
      <c r="I53" s="2"/>
      <c r="J53" s="7">
        <f t="shared" si="32"/>
        <v>0</v>
      </c>
      <c r="K53" s="2"/>
      <c r="L53" s="6">
        <f t="shared" si="33"/>
        <v>818.61</v>
      </c>
      <c r="M53" s="2"/>
      <c r="N53" s="7">
        <f t="shared" si="34"/>
        <v>0</v>
      </c>
      <c r="O53" s="11"/>
      <c r="P53" s="6">
        <v>818.61</v>
      </c>
      <c r="Q53" s="2"/>
      <c r="R53" s="7">
        <f t="shared" si="35"/>
        <v>1.211995320268738E-2</v>
      </c>
      <c r="S53" s="2"/>
      <c r="T53" s="6"/>
      <c r="U53" s="2"/>
      <c r="V53" s="7">
        <f t="shared" si="36"/>
        <v>0</v>
      </c>
      <c r="W53" s="2"/>
      <c r="X53" s="6">
        <f t="shared" si="37"/>
        <v>818.61</v>
      </c>
      <c r="Y53" s="2"/>
      <c r="Z53" s="7">
        <f t="shared" si="38"/>
        <v>0</v>
      </c>
    </row>
    <row r="54" spans="1:26" s="28" customFormat="1" outlineLevel="1" collapsed="1" x14ac:dyDescent="0.25">
      <c r="A54" s="27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15.88</v>
      </c>
      <c r="E54" s="1"/>
      <c r="F54" s="5">
        <f t="shared" ref="F54:F60" si="39">IF(D$12=0,0,D54/D$12)</f>
        <v>6.2600943035112904E-4</v>
      </c>
      <c r="G54" s="1"/>
      <c r="H54" s="1">
        <f>SUM(OSRRefH22_2x_0)</f>
        <v>124.72</v>
      </c>
      <c r="I54" s="1"/>
      <c r="J54" s="5">
        <f t="shared" ref="J54:J60" si="40">IF(H$12=0,0,H54/H$12)</f>
        <v>6.9675977653631289</v>
      </c>
      <c r="K54" s="1"/>
      <c r="L54" s="1">
        <f t="shared" ref="L54:L60" si="41">+D54-H54</f>
        <v>-108.84</v>
      </c>
      <c r="M54" s="1"/>
      <c r="N54" s="5">
        <f t="shared" ref="N54:N60" si="42">IF(H54=0,0,L54/H54)</f>
        <v>-0.87267479153303407</v>
      </c>
      <c r="O54" s="14"/>
      <c r="P54" s="1">
        <f>SUM(OSRRefP22_2x_0)</f>
        <v>168.8</v>
      </c>
      <c r="Q54" s="1"/>
      <c r="R54" s="5">
        <f t="shared" ref="R54:R60" si="43">IF(P$12=0,0,P54/P$12)</f>
        <v>2.4991731112662071E-3</v>
      </c>
      <c r="S54" s="1"/>
      <c r="T54" s="1">
        <f>SUM(OSRRefT22_2x_0)</f>
        <v>124.72</v>
      </c>
      <c r="U54" s="1"/>
      <c r="V54" s="5">
        <f t="shared" ref="V54:V60" si="44">IF(T$12=0,0,T54/T$12)</f>
        <v>5.8521240695347957E-3</v>
      </c>
      <c r="W54" s="1"/>
      <c r="X54" s="1">
        <f t="shared" ref="X54:X60" si="45">+P54-T54</f>
        <v>44.080000000000013</v>
      </c>
      <c r="Y54" s="1"/>
      <c r="Z54" s="5">
        <f t="shared" ref="Z54:Z60" si="46">IF(T54=0,0,X54/T54)</f>
        <v>0.3534316869788327</v>
      </c>
    </row>
    <row r="55" spans="1:26" s="24" customFormat="1" hidden="1" outlineLevel="2" x14ac:dyDescent="0.25">
      <c r="A55" s="29"/>
      <c r="B55" s="11" t="str">
        <f>CONCATENATE("          ", "6362", " - ", "ADVERTISING EXPENSE")</f>
        <v xml:space="preserve">          6362 - ADVERTISING EXPENSE</v>
      </c>
      <c r="C55" s="11"/>
      <c r="D55" s="6">
        <v>15.88</v>
      </c>
      <c r="E55" s="2"/>
      <c r="F55" s="7">
        <f t="shared" si="39"/>
        <v>6.2600943035112904E-4</v>
      </c>
      <c r="G55" s="2"/>
      <c r="H55" s="6">
        <v>124.72</v>
      </c>
      <c r="I55" s="2"/>
      <c r="J55" s="7">
        <f t="shared" si="40"/>
        <v>6.9675977653631289</v>
      </c>
      <c r="K55" s="2"/>
      <c r="L55" s="6">
        <f t="shared" si="41"/>
        <v>-108.84</v>
      </c>
      <c r="M55" s="2"/>
      <c r="N55" s="7">
        <f t="shared" si="42"/>
        <v>-0.87267479153303407</v>
      </c>
      <c r="O55" s="11"/>
      <c r="P55" s="6">
        <v>168.8</v>
      </c>
      <c r="Q55" s="2"/>
      <c r="R55" s="7">
        <f t="shared" si="43"/>
        <v>2.4991731112662071E-3</v>
      </c>
      <c r="S55" s="2"/>
      <c r="T55" s="6">
        <v>124.72</v>
      </c>
      <c r="U55" s="2"/>
      <c r="V55" s="7">
        <f t="shared" si="44"/>
        <v>5.8521240695347957E-3</v>
      </c>
      <c r="W55" s="2"/>
      <c r="X55" s="6">
        <f t="shared" si="45"/>
        <v>44.080000000000013</v>
      </c>
      <c r="Y55" s="2"/>
      <c r="Z55" s="7">
        <f t="shared" si="46"/>
        <v>0.3534316869788327</v>
      </c>
    </row>
    <row r="56" spans="1:26" s="28" customFormat="1" outlineLevel="1" collapsed="1" x14ac:dyDescent="0.25">
      <c r="A56" s="27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0.44</v>
      </c>
      <c r="E56" s="1"/>
      <c r="F56" s="5">
        <f t="shared" si="39"/>
        <v>1.7345349455572844E-5</v>
      </c>
      <c r="G56" s="1"/>
      <c r="H56" s="1">
        <f>SUM(OSRRefH22_3x_0)</f>
        <v>0</v>
      </c>
      <c r="I56" s="1"/>
      <c r="J56" s="5">
        <f t="shared" si="40"/>
        <v>0</v>
      </c>
      <c r="K56" s="1"/>
      <c r="L56" s="1">
        <f t="shared" si="41"/>
        <v>0.44</v>
      </c>
      <c r="M56" s="1"/>
      <c r="N56" s="5">
        <f t="shared" si="42"/>
        <v>0</v>
      </c>
      <c r="O56" s="14"/>
      <c r="P56" s="1">
        <f>SUM(OSRRefP22_3x_0)</f>
        <v>-2.89</v>
      </c>
      <c r="Q56" s="1"/>
      <c r="R56" s="5">
        <f t="shared" si="43"/>
        <v>-4.2787975660896552E-5</v>
      </c>
      <c r="S56" s="1"/>
      <c r="T56" s="1">
        <f>SUM(OSRRefT22_3x_0)</f>
        <v>1.1000000000000001</v>
      </c>
      <c r="U56" s="1"/>
      <c r="V56" s="5">
        <f t="shared" si="44"/>
        <v>5.1614307861516002E-5</v>
      </c>
      <c r="W56" s="1"/>
      <c r="X56" s="1">
        <f t="shared" si="45"/>
        <v>-3.99</v>
      </c>
      <c r="Y56" s="1"/>
      <c r="Z56" s="5">
        <f t="shared" si="46"/>
        <v>-3.627272727272727</v>
      </c>
    </row>
    <row r="57" spans="1:26" s="24" customFormat="1" hidden="1" outlineLevel="2" x14ac:dyDescent="0.25">
      <c r="A57" s="29"/>
      <c r="B57" s="11" t="str">
        <f>CONCATENATE("          ", "6272", " - ", "CASH (OVER/SHORT)")</f>
        <v xml:space="preserve">          6272 - CASH (OVER/SHORT)</v>
      </c>
      <c r="C57" s="11"/>
      <c r="D57" s="6">
        <v>0.44</v>
      </c>
      <c r="E57" s="2"/>
      <c r="F57" s="7">
        <f t="shared" si="39"/>
        <v>1.7345349455572844E-5</v>
      </c>
      <c r="G57" s="2"/>
      <c r="H57" s="6">
        <v>0</v>
      </c>
      <c r="I57" s="2"/>
      <c r="J57" s="7">
        <f t="shared" si="40"/>
        <v>0</v>
      </c>
      <c r="K57" s="2"/>
      <c r="L57" s="6">
        <f t="shared" si="41"/>
        <v>0.44</v>
      </c>
      <c r="M57" s="2"/>
      <c r="N57" s="7">
        <f t="shared" si="42"/>
        <v>0</v>
      </c>
      <c r="O57" s="11"/>
      <c r="P57" s="6">
        <v>-2.89</v>
      </c>
      <c r="Q57" s="2"/>
      <c r="R57" s="7">
        <f t="shared" si="43"/>
        <v>-4.2787975660896552E-5</v>
      </c>
      <c r="S57" s="2"/>
      <c r="T57" s="6">
        <v>1.1000000000000001</v>
      </c>
      <c r="U57" s="2"/>
      <c r="V57" s="7">
        <f t="shared" si="44"/>
        <v>5.1614307861516002E-5</v>
      </c>
      <c r="W57" s="2"/>
      <c r="X57" s="6">
        <f t="shared" si="45"/>
        <v>-3.99</v>
      </c>
      <c r="Y57" s="2"/>
      <c r="Z57" s="7">
        <f t="shared" si="46"/>
        <v>-3.627272727272727</v>
      </c>
    </row>
    <row r="58" spans="1:26" s="28" customFormat="1" outlineLevel="1" collapsed="1" x14ac:dyDescent="0.25">
      <c r="A58" s="27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SUM(OSRRefD22_4x_0)</f>
        <v>-43.54</v>
      </c>
      <c r="E58" s="1"/>
      <c r="F58" s="5">
        <f t="shared" si="39"/>
        <v>-1.7164011711264583E-3</v>
      </c>
      <c r="G58" s="1"/>
      <c r="H58" s="1">
        <f>SUM(OSRRefH22_4x_0)</f>
        <v>-418.85</v>
      </c>
      <c r="I58" s="1"/>
      <c r="J58" s="5">
        <f t="shared" si="40"/>
        <v>-23.399441340782126</v>
      </c>
      <c r="K58" s="1"/>
      <c r="L58" s="1">
        <f t="shared" si="41"/>
        <v>375.31</v>
      </c>
      <c r="M58" s="1"/>
      <c r="N58" s="5">
        <f t="shared" si="42"/>
        <v>-0.89604870478691656</v>
      </c>
      <c r="O58" s="14"/>
      <c r="P58" s="1">
        <f>SUM(OSRRefP22_4x_0)</f>
        <v>-43.54</v>
      </c>
      <c r="Q58" s="1"/>
      <c r="R58" s="5">
        <f t="shared" si="43"/>
        <v>-6.4463268521641379E-4</v>
      </c>
      <c r="S58" s="1"/>
      <c r="T58" s="1">
        <f>SUM(OSRRefT22_4x_0)</f>
        <v>-418.85</v>
      </c>
      <c r="U58" s="1"/>
      <c r="V58" s="5">
        <f t="shared" si="44"/>
        <v>-1.9653320770723615E-2</v>
      </c>
      <c r="W58" s="1"/>
      <c r="X58" s="1">
        <f t="shared" si="45"/>
        <v>375.31</v>
      </c>
      <c r="Y58" s="1"/>
      <c r="Z58" s="5">
        <f t="shared" si="46"/>
        <v>-0.89604870478691656</v>
      </c>
    </row>
    <row r="59" spans="1:26" s="24" customFormat="1" hidden="1" outlineLevel="2" x14ac:dyDescent="0.25">
      <c r="A59" s="29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39"/>
        <v>0</v>
      </c>
      <c r="G59" s="2"/>
      <c r="H59" s="6">
        <v>0</v>
      </c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1"/>
      <c r="P59" s="6"/>
      <c r="Q59" s="2"/>
      <c r="R59" s="7">
        <f t="shared" si="43"/>
        <v>0</v>
      </c>
      <c r="S59" s="2"/>
      <c r="T59" s="6">
        <v>0</v>
      </c>
      <c r="U59" s="2"/>
      <c r="V59" s="7">
        <f t="shared" si="44"/>
        <v>0</v>
      </c>
      <c r="W59" s="2"/>
      <c r="X59" s="6">
        <f t="shared" si="45"/>
        <v>0</v>
      </c>
      <c r="Y59" s="2"/>
      <c r="Z59" s="7">
        <f t="shared" si="46"/>
        <v>0</v>
      </c>
    </row>
    <row r="60" spans="1:26" s="24" customFormat="1" hidden="1" outlineLevel="2" x14ac:dyDescent="0.25">
      <c r="A60" s="29"/>
      <c r="B60" s="11" t="str">
        <f>CONCATENATE("          ", "9175", " - ", "EARNED DISCOUNTS")</f>
        <v xml:space="preserve">          9175 - EARNED DISCOUNTS</v>
      </c>
      <c r="C60" s="11"/>
      <c r="D60" s="6">
        <v>-43.54</v>
      </c>
      <c r="E60" s="2"/>
      <c r="F60" s="7">
        <f t="shared" si="39"/>
        <v>-1.7164011711264583E-3</v>
      </c>
      <c r="G60" s="2"/>
      <c r="H60" s="6">
        <v>-418.85</v>
      </c>
      <c r="I60" s="2"/>
      <c r="J60" s="7">
        <f t="shared" si="40"/>
        <v>-23.399441340782126</v>
      </c>
      <c r="K60" s="2"/>
      <c r="L60" s="6">
        <f t="shared" si="41"/>
        <v>375.31</v>
      </c>
      <c r="M60" s="2"/>
      <c r="N60" s="7">
        <f t="shared" si="42"/>
        <v>-0.89604870478691656</v>
      </c>
      <c r="O60" s="11"/>
      <c r="P60" s="6">
        <v>-43.54</v>
      </c>
      <c r="Q60" s="2"/>
      <c r="R60" s="7">
        <f t="shared" si="43"/>
        <v>-6.4463268521641379E-4</v>
      </c>
      <c r="S60" s="2"/>
      <c r="T60" s="6">
        <v>-418.85</v>
      </c>
      <c r="U60" s="2"/>
      <c r="V60" s="7">
        <f t="shared" si="44"/>
        <v>-1.9653320770723615E-2</v>
      </c>
      <c r="W60" s="2"/>
      <c r="X60" s="6">
        <f t="shared" si="45"/>
        <v>375.31</v>
      </c>
      <c r="Y60" s="2"/>
      <c r="Z60" s="7">
        <f t="shared" si="46"/>
        <v>-0.89604870478691656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0</v>
      </c>
      <c r="E61" s="1"/>
      <c r="F61" s="5">
        <f t="shared" ref="F61:F63" si="47">IF(D$12=0,0,D61/D$12)</f>
        <v>0</v>
      </c>
      <c r="G61" s="1"/>
      <c r="H61" s="1">
        <f>SUM(OSRRefH22_5x_0)</f>
        <v>0</v>
      </c>
      <c r="I61" s="1"/>
      <c r="J61" s="5">
        <f t="shared" ref="J61:J63" si="48">IF(H$12=0,0,H61/H$12)</f>
        <v>0</v>
      </c>
      <c r="K61" s="1"/>
      <c r="L61" s="1">
        <f t="shared" ref="L61:L63" si="49">+D61-H61</f>
        <v>0</v>
      </c>
      <c r="M61" s="1"/>
      <c r="N61" s="5">
        <f t="shared" ref="N61:N63" si="50">IF(H61=0,0,L61/H61)</f>
        <v>0</v>
      </c>
      <c r="O61" s="14"/>
      <c r="P61" s="1">
        <f>SUM(OSRRefP22_5x_0)</f>
        <v>54.5</v>
      </c>
      <c r="Q61" s="1"/>
      <c r="R61" s="5">
        <f t="shared" ref="R61:R63" si="51">IF(P$12=0,0,P61/P$12)</f>
        <v>8.0690127111379304E-4</v>
      </c>
      <c r="S61" s="1"/>
      <c r="T61" s="1">
        <f>SUM(OSRRefT22_5x_0)</f>
        <v>0</v>
      </c>
      <c r="U61" s="1"/>
      <c r="V61" s="5">
        <f t="shared" ref="V61:V63" si="52">IF(T$12=0,0,T61/T$12)</f>
        <v>0</v>
      </c>
      <c r="W61" s="1"/>
      <c r="X61" s="1">
        <f t="shared" ref="X61:X63" si="53">+P61-T61</f>
        <v>54.5</v>
      </c>
      <c r="Y61" s="1"/>
      <c r="Z61" s="5">
        <f t="shared" ref="Z61:Z63" si="54">IF(T61=0,0,X61/T61)</f>
        <v>0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1"/>
      <c r="P62" s="6"/>
      <c r="Q62" s="2"/>
      <c r="R62" s="7">
        <f t="shared" si="51"/>
        <v>0</v>
      </c>
      <c r="S62" s="2"/>
      <c r="T62" s="6">
        <v>0</v>
      </c>
      <c r="U62" s="2"/>
      <c r="V62" s="7">
        <f t="shared" si="52"/>
        <v>0</v>
      </c>
      <c r="W62" s="2"/>
      <c r="X62" s="6">
        <f t="shared" si="53"/>
        <v>0</v>
      </c>
      <c r="Y62" s="2"/>
      <c r="Z62" s="7">
        <f t="shared" si="54"/>
        <v>0</v>
      </c>
    </row>
    <row r="63" spans="1:26" s="24" customFormat="1" hidden="1" outlineLevel="2" x14ac:dyDescent="0.25">
      <c r="A63" s="29"/>
      <c r="B63" s="11" t="str">
        <f>CONCATENATE("          ", "6307", " - ", "POSTAGE")</f>
        <v xml:space="preserve">          6307 - POSTAGE</v>
      </c>
      <c r="C63" s="11"/>
      <c r="D63" s="6"/>
      <c r="E63" s="2"/>
      <c r="F63" s="7">
        <f t="shared" si="47"/>
        <v>0</v>
      </c>
      <c r="G63" s="2"/>
      <c r="H63" s="6"/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1"/>
      <c r="P63" s="6">
        <v>54.5</v>
      </c>
      <c r="Q63" s="2"/>
      <c r="R63" s="7">
        <f t="shared" si="51"/>
        <v>8.0690127111379304E-4</v>
      </c>
      <c r="S63" s="2"/>
      <c r="T63" s="6"/>
      <c r="U63" s="2"/>
      <c r="V63" s="7">
        <f t="shared" si="52"/>
        <v>0</v>
      </c>
      <c r="W63" s="2"/>
      <c r="X63" s="6">
        <f t="shared" si="53"/>
        <v>54.5</v>
      </c>
      <c r="Y63" s="2"/>
      <c r="Z63" s="7">
        <f t="shared" si="54"/>
        <v>0</v>
      </c>
    </row>
    <row r="64" spans="1:26" s="28" customFormat="1" outlineLevel="1" collapsed="1" x14ac:dyDescent="0.25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ref="F64:F70" si="55">IF(D$12=0,0,D64/D$12)</f>
        <v>0</v>
      </c>
      <c r="G64" s="1"/>
      <c r="H64" s="1">
        <f>SUM(OSRRefH22_6x_0)</f>
        <v>0</v>
      </c>
      <c r="I64" s="1"/>
      <c r="J64" s="5">
        <f t="shared" ref="J64:J70" si="56">IF(H$12=0,0,H64/H$12)</f>
        <v>0</v>
      </c>
      <c r="K64" s="1"/>
      <c r="L64" s="1">
        <f t="shared" ref="L64:L70" si="57">+D64-H64</f>
        <v>0</v>
      </c>
      <c r="M64" s="1"/>
      <c r="N64" s="5">
        <f t="shared" ref="N64:N70" si="58">IF(H64=0,0,L64/H64)</f>
        <v>0</v>
      </c>
      <c r="O64" s="14"/>
      <c r="P64" s="1">
        <f>SUM(OSRRefP22_6x_0)</f>
        <v>228.04</v>
      </c>
      <c r="Q64" s="1"/>
      <c r="R64" s="5">
        <f t="shared" ref="R64:R70" si="59">IF(P$12=0,0,P64/P$12)</f>
        <v>3.3762525846750342E-3</v>
      </c>
      <c r="S64" s="1"/>
      <c r="T64" s="1">
        <f>SUM(OSRRefT22_6x_0)</f>
        <v>719.55</v>
      </c>
      <c r="U64" s="1"/>
      <c r="V64" s="5">
        <f t="shared" ref="V64:V70" si="60">IF(T$12=0,0,T64/T$12)</f>
        <v>3.3762795656139849E-2</v>
      </c>
      <c r="W64" s="1"/>
      <c r="X64" s="1">
        <f t="shared" ref="X64:X70" si="61">+P64-T64</f>
        <v>-491.51</v>
      </c>
      <c r="Y64" s="1"/>
      <c r="Z64" s="5">
        <f t="shared" ref="Z64:Z70" si="62">IF(T64=0,0,X64/T64)</f>
        <v>-0.68307970259189776</v>
      </c>
    </row>
    <row r="65" spans="1:26" s="24" customFormat="1" hidden="1" outlineLevel="2" x14ac:dyDescent="0.25">
      <c r="A65" s="29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1"/>
      <c r="P65" s="6">
        <v>228.04</v>
      </c>
      <c r="Q65" s="2"/>
      <c r="R65" s="7">
        <f t="shared" si="59"/>
        <v>3.3762525846750342E-3</v>
      </c>
      <c r="S65" s="2"/>
      <c r="T65" s="6">
        <v>719.55</v>
      </c>
      <c r="U65" s="2"/>
      <c r="V65" s="7">
        <f t="shared" si="60"/>
        <v>3.3762795656139849E-2</v>
      </c>
      <c r="W65" s="2"/>
      <c r="X65" s="6">
        <f t="shared" si="61"/>
        <v>-491.51</v>
      </c>
      <c r="Y65" s="2"/>
      <c r="Z65" s="7">
        <f t="shared" si="62"/>
        <v>-0.68307970259189776</v>
      </c>
    </row>
    <row r="66" spans="1:26" s="28" customFormat="1" outlineLevel="1" collapsed="1" x14ac:dyDescent="0.25">
      <c r="A66" s="27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650</v>
      </c>
      <c r="E66" s="1"/>
      <c r="F66" s="5">
        <f t="shared" si="55"/>
        <v>2.562381169573261E-2</v>
      </c>
      <c r="G66" s="1"/>
      <c r="H66" s="1">
        <f>SUM(OSRRefH22_7x_0)</f>
        <v>0</v>
      </c>
      <c r="I66" s="1"/>
      <c r="J66" s="5">
        <f t="shared" si="56"/>
        <v>0</v>
      </c>
      <c r="K66" s="1"/>
      <c r="L66" s="1">
        <f t="shared" si="57"/>
        <v>650</v>
      </c>
      <c r="M66" s="1"/>
      <c r="N66" s="5">
        <f t="shared" si="58"/>
        <v>0</v>
      </c>
      <c r="O66" s="14"/>
      <c r="P66" s="1">
        <f>SUM(OSRRefP22_7x_0)</f>
        <v>2600</v>
      </c>
      <c r="Q66" s="1"/>
      <c r="R66" s="5">
        <f t="shared" si="59"/>
        <v>3.8494372566896549E-2</v>
      </c>
      <c r="S66" s="1"/>
      <c r="T66" s="1">
        <f>SUM(OSRRefT22_7x_0)</f>
        <v>0</v>
      </c>
      <c r="U66" s="1"/>
      <c r="V66" s="5">
        <f t="shared" si="60"/>
        <v>0</v>
      </c>
      <c r="W66" s="1"/>
      <c r="X66" s="1">
        <f t="shared" si="61"/>
        <v>2600</v>
      </c>
      <c r="Y66" s="1"/>
      <c r="Z66" s="5">
        <f t="shared" si="62"/>
        <v>0</v>
      </c>
    </row>
    <row r="67" spans="1:26" s="24" customFormat="1" hidden="1" outlineLevel="2" x14ac:dyDescent="0.25">
      <c r="A67" s="29"/>
      <c r="B67" s="11" t="str">
        <f>CONCATENATE("          ", "6408", " - ", "INVENTORY ADJUSTMENT")</f>
        <v xml:space="preserve">          6408 - INVENTORY ADJUSTMENT</v>
      </c>
      <c r="C67" s="11"/>
      <c r="D67" s="6">
        <v>650</v>
      </c>
      <c r="E67" s="2"/>
      <c r="F67" s="7">
        <f t="shared" si="55"/>
        <v>2.562381169573261E-2</v>
      </c>
      <c r="G67" s="2"/>
      <c r="H67" s="6"/>
      <c r="I67" s="2"/>
      <c r="J67" s="7">
        <f t="shared" si="56"/>
        <v>0</v>
      </c>
      <c r="K67" s="2"/>
      <c r="L67" s="6">
        <f t="shared" si="57"/>
        <v>650</v>
      </c>
      <c r="M67" s="2"/>
      <c r="N67" s="7">
        <f t="shared" si="58"/>
        <v>0</v>
      </c>
      <c r="O67" s="11"/>
      <c r="P67" s="6">
        <v>2600</v>
      </c>
      <c r="Q67" s="2"/>
      <c r="R67" s="7">
        <f t="shared" si="59"/>
        <v>3.8494372566896549E-2</v>
      </c>
      <c r="S67" s="2"/>
      <c r="T67" s="6"/>
      <c r="U67" s="2"/>
      <c r="V67" s="7">
        <f t="shared" si="60"/>
        <v>0</v>
      </c>
      <c r="W67" s="2"/>
      <c r="X67" s="6">
        <f t="shared" si="61"/>
        <v>2600</v>
      </c>
      <c r="Y67" s="2"/>
      <c r="Z67" s="7">
        <f t="shared" si="62"/>
        <v>0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9.5399999999999991</v>
      </c>
      <c r="E68" s="1"/>
      <c r="F68" s="5">
        <f t="shared" si="55"/>
        <v>3.7607871319582939E-4</v>
      </c>
      <c r="G68" s="1"/>
      <c r="H68" s="1">
        <f>SUM(OSRRefH22_8x_0)</f>
        <v>0</v>
      </c>
      <c r="I68" s="1"/>
      <c r="J68" s="5">
        <f t="shared" si="56"/>
        <v>0</v>
      </c>
      <c r="K68" s="1"/>
      <c r="L68" s="1">
        <f t="shared" si="57"/>
        <v>9.5399999999999991</v>
      </c>
      <c r="M68" s="1"/>
      <c r="N68" s="5">
        <f t="shared" si="58"/>
        <v>0</v>
      </c>
      <c r="O68" s="14"/>
      <c r="P68" s="1">
        <f>SUM(OSRRefP22_8x_0)</f>
        <v>244.32999999999998</v>
      </c>
      <c r="Q68" s="1"/>
      <c r="R68" s="5">
        <f t="shared" si="59"/>
        <v>3.6174346343345516E-3</v>
      </c>
      <c r="S68" s="1"/>
      <c r="T68" s="1">
        <f>SUM(OSRRefT22_8x_0)</f>
        <v>139.71</v>
      </c>
      <c r="U68" s="1"/>
      <c r="V68" s="5">
        <f t="shared" si="60"/>
        <v>6.555486319393092E-3</v>
      </c>
      <c r="W68" s="1"/>
      <c r="X68" s="1">
        <f t="shared" si="61"/>
        <v>104.61999999999998</v>
      </c>
      <c r="Y68" s="1"/>
      <c r="Z68" s="5">
        <f t="shared" si="62"/>
        <v>0.74883687638680096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55"/>
        <v>0</v>
      </c>
      <c r="G69" s="2"/>
      <c r="H69" s="6"/>
      <c r="I69" s="2"/>
      <c r="J69" s="7">
        <f t="shared" si="56"/>
        <v>0</v>
      </c>
      <c r="K69" s="2"/>
      <c r="L69" s="6">
        <f t="shared" si="57"/>
        <v>0</v>
      </c>
      <c r="M69" s="2"/>
      <c r="N69" s="7">
        <f t="shared" si="58"/>
        <v>0</v>
      </c>
      <c r="O69" s="11"/>
      <c r="P69" s="6">
        <v>61.11</v>
      </c>
      <c r="Q69" s="2"/>
      <c r="R69" s="7">
        <f t="shared" si="59"/>
        <v>9.0476581060117242E-4</v>
      </c>
      <c r="S69" s="2"/>
      <c r="T69" s="6">
        <v>139.71</v>
      </c>
      <c r="U69" s="2"/>
      <c r="V69" s="7">
        <f t="shared" si="60"/>
        <v>6.555486319393092E-3</v>
      </c>
      <c r="W69" s="2"/>
      <c r="X69" s="6">
        <f t="shared" si="61"/>
        <v>-78.600000000000009</v>
      </c>
      <c r="Y69" s="2"/>
      <c r="Z69" s="7">
        <f t="shared" si="62"/>
        <v>-0.56259394459952761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9.5399999999999991</v>
      </c>
      <c r="E70" s="2"/>
      <c r="F70" s="7">
        <f t="shared" si="55"/>
        <v>3.7607871319582939E-4</v>
      </c>
      <c r="G70" s="2"/>
      <c r="H70" s="6"/>
      <c r="I70" s="2"/>
      <c r="J70" s="7">
        <f t="shared" si="56"/>
        <v>0</v>
      </c>
      <c r="K70" s="2"/>
      <c r="L70" s="6">
        <f t="shared" si="57"/>
        <v>9.5399999999999991</v>
      </c>
      <c r="M70" s="2"/>
      <c r="N70" s="7">
        <f t="shared" si="58"/>
        <v>0</v>
      </c>
      <c r="O70" s="11"/>
      <c r="P70" s="6">
        <v>183.22</v>
      </c>
      <c r="Q70" s="2"/>
      <c r="R70" s="7">
        <f t="shared" si="59"/>
        <v>2.7126688237333794E-3</v>
      </c>
      <c r="S70" s="2"/>
      <c r="T70" s="6"/>
      <c r="U70" s="2"/>
      <c r="V70" s="7">
        <f t="shared" si="60"/>
        <v>0</v>
      </c>
      <c r="W70" s="2"/>
      <c r="X70" s="6">
        <f t="shared" si="61"/>
        <v>183.22</v>
      </c>
      <c r="Y70" s="2"/>
      <c r="Z70" s="7">
        <f t="shared" si="62"/>
        <v>0</v>
      </c>
    </row>
    <row r="71" spans="1:26" s="28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SUM(OSRRefD22_9x_0)</f>
        <v>426.05</v>
      </c>
      <c r="E71" s="1"/>
      <c r="F71" s="5">
        <f t="shared" ref="F71:F73" si="63">IF(D$12=0,0,D71/D$12)</f>
        <v>1.679542303533366E-2</v>
      </c>
      <c r="G71" s="1"/>
      <c r="H71" s="1">
        <f>SUM(OSRRefH22_9x_0)</f>
        <v>0</v>
      </c>
      <c r="I71" s="1"/>
      <c r="J71" s="5">
        <f t="shared" ref="J71:J73" si="64">IF(H$12=0,0,H71/H$12)</f>
        <v>0</v>
      </c>
      <c r="K71" s="1"/>
      <c r="L71" s="1">
        <f t="shared" ref="L71:L73" si="65">+D71-H71</f>
        <v>426.05</v>
      </c>
      <c r="M71" s="1"/>
      <c r="N71" s="5">
        <f t="shared" ref="N71:N73" si="66">IF(H71=0,0,L71/H71)</f>
        <v>0</v>
      </c>
      <c r="O71" s="14"/>
      <c r="P71" s="1">
        <f>SUM(OSRRefP22_9x_0)</f>
        <v>3039.99</v>
      </c>
      <c r="Q71" s="1"/>
      <c r="R71" s="5">
        <f t="shared" ref="R71:R73" si="67">IF(P$12=0,0,P71/P$12)</f>
        <v>4.5008656792169165E-2</v>
      </c>
      <c r="S71" s="1"/>
      <c r="T71" s="1">
        <f>SUM(OSRRefT22_9x_0)</f>
        <v>-25.5</v>
      </c>
      <c r="U71" s="1"/>
      <c r="V71" s="5">
        <f t="shared" ref="V71:V73" si="68">IF(T$12=0,0,T71/T$12)</f>
        <v>-1.1965135004260528E-3</v>
      </c>
      <c r="W71" s="1"/>
      <c r="X71" s="1">
        <f t="shared" ref="X71:X73" si="69">+P71-T71</f>
        <v>3065.49</v>
      </c>
      <c r="Y71" s="1"/>
      <c r="Z71" s="5">
        <f t="shared" ref="Z71:Z73" si="70">IF(T71=0,0,X71/T71)</f>
        <v>-120.21529411764705</v>
      </c>
    </row>
    <row r="72" spans="1:26" s="24" customFormat="1" hidden="1" outlineLevel="2" x14ac:dyDescent="0.25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220.3</v>
      </c>
      <c r="E72" s="2"/>
      <c r="F72" s="7">
        <f t="shared" si="63"/>
        <v>8.6845011024152229E-3</v>
      </c>
      <c r="G72" s="2"/>
      <c r="H72" s="6"/>
      <c r="I72" s="2"/>
      <c r="J72" s="7">
        <f t="shared" si="64"/>
        <v>0</v>
      </c>
      <c r="K72" s="2"/>
      <c r="L72" s="6">
        <f t="shared" si="65"/>
        <v>220.3</v>
      </c>
      <c r="M72" s="2"/>
      <c r="N72" s="7">
        <f t="shared" si="66"/>
        <v>0</v>
      </c>
      <c r="O72" s="11"/>
      <c r="P72" s="6">
        <v>491.6</v>
      </c>
      <c r="Q72" s="2"/>
      <c r="R72" s="7">
        <f t="shared" si="67"/>
        <v>7.2783975207255172E-3</v>
      </c>
      <c r="S72" s="2"/>
      <c r="T72" s="6">
        <v>132</v>
      </c>
      <c r="U72" s="2"/>
      <c r="V72" s="7">
        <f t="shared" si="68"/>
        <v>6.1937169433819205E-3</v>
      </c>
      <c r="W72" s="2"/>
      <c r="X72" s="6">
        <f t="shared" si="69"/>
        <v>359.6</v>
      </c>
      <c r="Y72" s="2"/>
      <c r="Z72" s="7">
        <f t="shared" si="70"/>
        <v>2.7242424242424246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6">
        <v>205.75</v>
      </c>
      <c r="E73" s="2"/>
      <c r="F73" s="7">
        <f t="shared" si="63"/>
        <v>8.1109219329184388E-3</v>
      </c>
      <c r="G73" s="2"/>
      <c r="H73" s="6"/>
      <c r="I73" s="2"/>
      <c r="J73" s="7">
        <f t="shared" si="64"/>
        <v>0</v>
      </c>
      <c r="K73" s="2"/>
      <c r="L73" s="6">
        <f t="shared" si="65"/>
        <v>205.75</v>
      </c>
      <c r="M73" s="2"/>
      <c r="N73" s="7">
        <f t="shared" si="66"/>
        <v>0</v>
      </c>
      <c r="O73" s="11"/>
      <c r="P73" s="6">
        <v>2548.39</v>
      </c>
      <c r="Q73" s="2"/>
      <c r="R73" s="7">
        <f t="shared" si="67"/>
        <v>3.7730259271443654E-2</v>
      </c>
      <c r="S73" s="2"/>
      <c r="T73" s="6">
        <v>-157.5</v>
      </c>
      <c r="U73" s="2"/>
      <c r="V73" s="7">
        <f t="shared" si="68"/>
        <v>-7.3902304438079732E-3</v>
      </c>
      <c r="W73" s="2"/>
      <c r="X73" s="6">
        <f t="shared" si="69"/>
        <v>2705.89</v>
      </c>
      <c r="Y73" s="2"/>
      <c r="Z73" s="7">
        <f t="shared" si="70"/>
        <v>-17.180253968253968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1419.95</v>
      </c>
      <c r="E74" s="1"/>
      <c r="F74" s="5">
        <f t="shared" ref="F74:F78" si="71">IF(D$12=0,0,D74/D$12)</f>
        <v>5.5976202180546955E-2</v>
      </c>
      <c r="G74" s="1"/>
      <c r="H74" s="1">
        <f>SUM(OSRRefH22_10x_0)</f>
        <v>544.6</v>
      </c>
      <c r="I74" s="1"/>
      <c r="J74" s="5">
        <f t="shared" ref="J74:J78" si="72">IF(H$12=0,0,H74/H$12)</f>
        <v>30.424581005586596</v>
      </c>
      <c r="K74" s="1"/>
      <c r="L74" s="1">
        <f t="shared" ref="L74:L78" si="73">+D74-H74</f>
        <v>875.35</v>
      </c>
      <c r="M74" s="1"/>
      <c r="N74" s="5">
        <f t="shared" ref="N74:N78" si="74">IF(H74=0,0,L74/H74)</f>
        <v>1.6073264781491001</v>
      </c>
      <c r="O74" s="14"/>
      <c r="P74" s="1">
        <f>SUM(OSRRefP22_10x_0)</f>
        <v>1668.3899999999999</v>
      </c>
      <c r="Q74" s="1"/>
      <c r="R74" s="5">
        <f t="shared" ref="R74:R78" si="75">IF(P$12=0,0,P74/P$12)</f>
        <v>2.4701394710340205E-2</v>
      </c>
      <c r="S74" s="1"/>
      <c r="T74" s="1">
        <f>SUM(OSRRefT22_10x_0)</f>
        <v>1892.27</v>
      </c>
      <c r="U74" s="1"/>
      <c r="V74" s="5">
        <f t="shared" ref="V74:V78" si="76">IF(T$12=0,0,T74/T$12)</f>
        <v>8.8789278488282622E-2</v>
      </c>
      <c r="W74" s="1"/>
      <c r="X74" s="1">
        <f t="shared" ref="X74:X78" si="77">+P74-T74</f>
        <v>-223.88000000000011</v>
      </c>
      <c r="Y74" s="1"/>
      <c r="Z74" s="5">
        <f t="shared" ref="Z74:Z78" si="78">IF(T74=0,0,X74/T74)</f>
        <v>-0.11831292574526897</v>
      </c>
    </row>
    <row r="75" spans="1:26" s="24" customFormat="1" hidden="1" outlineLevel="2" x14ac:dyDescent="0.25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6">
        <v>1347.52</v>
      </c>
      <c r="E75" s="2"/>
      <c r="F75" s="7">
        <f t="shared" si="71"/>
        <v>5.3120921132667087E-2</v>
      </c>
      <c r="G75" s="2"/>
      <c r="H75" s="6"/>
      <c r="I75" s="2"/>
      <c r="J75" s="7">
        <f t="shared" si="72"/>
        <v>0</v>
      </c>
      <c r="K75" s="2"/>
      <c r="L75" s="6">
        <f t="shared" si="73"/>
        <v>1347.52</v>
      </c>
      <c r="M75" s="2"/>
      <c r="N75" s="7">
        <f t="shared" si="74"/>
        <v>0</v>
      </c>
      <c r="O75" s="11"/>
      <c r="P75" s="6">
        <v>1347.52</v>
      </c>
      <c r="Q75" s="2"/>
      <c r="R75" s="7">
        <f t="shared" si="75"/>
        <v>1.9950744969747861E-2</v>
      </c>
      <c r="S75" s="2"/>
      <c r="T75" s="6"/>
      <c r="U75" s="2"/>
      <c r="V75" s="7">
        <f t="shared" si="76"/>
        <v>0</v>
      </c>
      <c r="W75" s="2"/>
      <c r="X75" s="6">
        <f t="shared" si="77"/>
        <v>1347.52</v>
      </c>
      <c r="Y75" s="2"/>
      <c r="Z75" s="7">
        <f t="shared" si="78"/>
        <v>0</v>
      </c>
    </row>
    <row r="76" spans="1:26" s="24" customFormat="1" hidden="1" outlineLevel="2" x14ac:dyDescent="0.25">
      <c r="A76" s="29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71"/>
        <v>0</v>
      </c>
      <c r="G76" s="2"/>
      <c r="H76" s="6"/>
      <c r="I76" s="2"/>
      <c r="J76" s="7">
        <f t="shared" si="72"/>
        <v>0</v>
      </c>
      <c r="K76" s="2"/>
      <c r="L76" s="6">
        <f t="shared" si="73"/>
        <v>0</v>
      </c>
      <c r="M76" s="2"/>
      <c r="N76" s="7">
        <f t="shared" si="74"/>
        <v>0</v>
      </c>
      <c r="O76" s="11"/>
      <c r="P76" s="6"/>
      <c r="Q76" s="2"/>
      <c r="R76" s="7">
        <f t="shared" si="75"/>
        <v>0</v>
      </c>
      <c r="S76" s="2"/>
      <c r="T76" s="6">
        <v>444.3</v>
      </c>
      <c r="U76" s="2"/>
      <c r="V76" s="7">
        <f t="shared" si="76"/>
        <v>2.0847488166246871E-2</v>
      </c>
      <c r="W76" s="2"/>
      <c r="X76" s="6">
        <f t="shared" si="77"/>
        <v>-444.3</v>
      </c>
      <c r="Y76" s="2"/>
      <c r="Z76" s="7">
        <f t="shared" si="78"/>
        <v>-1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71"/>
        <v>0</v>
      </c>
      <c r="G77" s="2"/>
      <c r="H77" s="6"/>
      <c r="I77" s="2"/>
      <c r="J77" s="7">
        <f t="shared" si="72"/>
        <v>0</v>
      </c>
      <c r="K77" s="2"/>
      <c r="L77" s="6">
        <f t="shared" si="73"/>
        <v>0</v>
      </c>
      <c r="M77" s="2"/>
      <c r="N77" s="7">
        <f t="shared" si="74"/>
        <v>0</v>
      </c>
      <c r="O77" s="11"/>
      <c r="P77" s="6"/>
      <c r="Q77" s="2"/>
      <c r="R77" s="7">
        <f t="shared" si="75"/>
        <v>0</v>
      </c>
      <c r="S77" s="2"/>
      <c r="T77" s="6">
        <v>225.24</v>
      </c>
      <c r="U77" s="2"/>
      <c r="V77" s="7">
        <f t="shared" si="76"/>
        <v>1.056873336611624E-2</v>
      </c>
      <c r="W77" s="2"/>
      <c r="X77" s="6">
        <f t="shared" si="77"/>
        <v>-225.24</v>
      </c>
      <c r="Y77" s="2"/>
      <c r="Z77" s="7">
        <f t="shared" si="78"/>
        <v>-1</v>
      </c>
    </row>
    <row r="78" spans="1:26" s="24" customFormat="1" hidden="1" outlineLevel="2" x14ac:dyDescent="0.25">
      <c r="A78" s="29"/>
      <c r="B78" s="11" t="str">
        <f>CONCATENATE("          ", "6247", " - ", "STORE SUPPLIES")</f>
        <v xml:space="preserve">          6247 - STORE SUPPLIES</v>
      </c>
      <c r="C78" s="11"/>
      <c r="D78" s="6">
        <v>72.430000000000007</v>
      </c>
      <c r="E78" s="2"/>
      <c r="F78" s="7">
        <f t="shared" si="71"/>
        <v>2.8552810478798666E-3</v>
      </c>
      <c r="G78" s="2"/>
      <c r="H78" s="6">
        <v>544.6</v>
      </c>
      <c r="I78" s="2"/>
      <c r="J78" s="7">
        <f t="shared" si="72"/>
        <v>30.424581005586596</v>
      </c>
      <c r="K78" s="2"/>
      <c r="L78" s="6">
        <f t="shared" si="73"/>
        <v>-472.17</v>
      </c>
      <c r="M78" s="2"/>
      <c r="N78" s="7">
        <f t="shared" si="74"/>
        <v>-0.86700330517811242</v>
      </c>
      <c r="O78" s="11"/>
      <c r="P78" s="6">
        <v>320.87</v>
      </c>
      <c r="Q78" s="2"/>
      <c r="R78" s="7">
        <f t="shared" si="75"/>
        <v>4.7506497405923444E-3</v>
      </c>
      <c r="S78" s="2"/>
      <c r="T78" s="6">
        <v>1222.73</v>
      </c>
      <c r="U78" s="2"/>
      <c r="V78" s="7">
        <f t="shared" si="76"/>
        <v>5.7373056955919509E-2</v>
      </c>
      <c r="W78" s="2"/>
      <c r="X78" s="6">
        <f t="shared" si="77"/>
        <v>-901.86</v>
      </c>
      <c r="Y78" s="2"/>
      <c r="Z78" s="7">
        <f t="shared" si="78"/>
        <v>-0.73757902398730713</v>
      </c>
    </row>
    <row r="79" spans="1:26" s="28" customFormat="1" outlineLevel="1" collapsed="1" x14ac:dyDescent="0.25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SUM(OSRRefD22_11x_0)</f>
        <v>53</v>
      </c>
      <c r="E79" s="1"/>
      <c r="F79" s="5">
        <f t="shared" ref="F79:F82" si="79">IF(D$12=0,0,D79/D$12)</f>
        <v>2.0893261844212745E-3</v>
      </c>
      <c r="G79" s="1"/>
      <c r="H79" s="1">
        <f>SUM(OSRRefH22_11x_0)</f>
        <v>53.9</v>
      </c>
      <c r="I79" s="1"/>
      <c r="J79" s="5">
        <f t="shared" ref="J79:J82" si="80">IF(H$12=0,0,H79/H$12)</f>
        <v>3.011173184357542</v>
      </c>
      <c r="K79" s="1"/>
      <c r="L79" s="1">
        <f t="shared" ref="L79:L82" si="81">+D79-H79</f>
        <v>-0.89999999999999858</v>
      </c>
      <c r="M79" s="1"/>
      <c r="N79" s="5">
        <f t="shared" ref="N79:N82" si="82">IF(H79=0,0,L79/H79)</f>
        <v>-1.669758812615953E-2</v>
      </c>
      <c r="O79" s="14"/>
      <c r="P79" s="1">
        <f>SUM(OSRRefP22_11x_0)</f>
        <v>172</v>
      </c>
      <c r="Q79" s="1"/>
      <c r="R79" s="5">
        <f t="shared" ref="R79:R82" si="83">IF(P$12=0,0,P79/P$12)</f>
        <v>2.5465508005793102E-3</v>
      </c>
      <c r="S79" s="1"/>
      <c r="T79" s="1">
        <f>SUM(OSRRefT22_11x_0)</f>
        <v>259.89999999999998</v>
      </c>
      <c r="U79" s="1"/>
      <c r="V79" s="5">
        <f t="shared" ref="V79:V82" si="84">IF(T$12=0,0,T79/T$12)</f>
        <v>1.2195053284734553E-2</v>
      </c>
      <c r="W79" s="1"/>
      <c r="X79" s="1">
        <f t="shared" ref="X79:X82" si="85">+P79-T79</f>
        <v>-87.899999999999977</v>
      </c>
      <c r="Y79" s="1"/>
      <c r="Z79" s="5">
        <f t="shared" ref="Z79:Z82" si="86">IF(T79=0,0,X79/T79)</f>
        <v>-0.33820700269334353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6">
        <v>53</v>
      </c>
      <c r="E80" s="2"/>
      <c r="F80" s="7">
        <f t="shared" si="79"/>
        <v>2.0893261844212745E-3</v>
      </c>
      <c r="G80" s="2"/>
      <c r="H80" s="6">
        <v>53.9</v>
      </c>
      <c r="I80" s="2"/>
      <c r="J80" s="7">
        <f t="shared" si="80"/>
        <v>3.011173184357542</v>
      </c>
      <c r="K80" s="2"/>
      <c r="L80" s="6">
        <f t="shared" si="81"/>
        <v>-0.89999999999999858</v>
      </c>
      <c r="M80" s="2"/>
      <c r="N80" s="7">
        <f t="shared" si="82"/>
        <v>-1.669758812615953E-2</v>
      </c>
      <c r="O80" s="11"/>
      <c r="P80" s="6">
        <v>172</v>
      </c>
      <c r="Q80" s="2"/>
      <c r="R80" s="7">
        <f t="shared" si="83"/>
        <v>2.5465508005793102E-3</v>
      </c>
      <c r="S80" s="2"/>
      <c r="T80" s="6">
        <v>259.89999999999998</v>
      </c>
      <c r="U80" s="2"/>
      <c r="V80" s="7">
        <f t="shared" si="84"/>
        <v>1.2195053284734553E-2</v>
      </c>
      <c r="W80" s="2"/>
      <c r="X80" s="6">
        <f t="shared" si="85"/>
        <v>-87.899999999999977</v>
      </c>
      <c r="Y80" s="2"/>
      <c r="Z80" s="7">
        <f t="shared" si="86"/>
        <v>-0.33820700269334353</v>
      </c>
    </row>
    <row r="81" spans="1:26" s="28" customFormat="1" outlineLevel="1" collapsed="1" x14ac:dyDescent="0.2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SUM(OSRRefD22_12x_0)</f>
        <v>0</v>
      </c>
      <c r="E81" s="1"/>
      <c r="F81" s="5">
        <f t="shared" si="79"/>
        <v>0</v>
      </c>
      <c r="G81" s="1"/>
      <c r="H81" s="1">
        <f>SUM(OSRRefH22_12x_0)</f>
        <v>14</v>
      </c>
      <c r="I81" s="1"/>
      <c r="J81" s="5">
        <f t="shared" si="80"/>
        <v>0.78212290502793302</v>
      </c>
      <c r="K81" s="1"/>
      <c r="L81" s="1">
        <f t="shared" si="81"/>
        <v>-14</v>
      </c>
      <c r="M81" s="1"/>
      <c r="N81" s="5">
        <f t="shared" si="82"/>
        <v>-1</v>
      </c>
      <c r="O81" s="14"/>
      <c r="P81" s="1">
        <f>SUM(OSRRefP22_12x_0)</f>
        <v>0</v>
      </c>
      <c r="Q81" s="1"/>
      <c r="R81" s="5">
        <f t="shared" si="83"/>
        <v>0</v>
      </c>
      <c r="S81" s="1"/>
      <c r="T81" s="1">
        <f>SUM(OSRRefT22_12x_0)</f>
        <v>14</v>
      </c>
      <c r="U81" s="1"/>
      <c r="V81" s="5">
        <f t="shared" si="84"/>
        <v>6.5690937278293094E-4</v>
      </c>
      <c r="W81" s="1"/>
      <c r="X81" s="1">
        <f t="shared" si="85"/>
        <v>-14</v>
      </c>
      <c r="Y81" s="1"/>
      <c r="Z81" s="5">
        <f t="shared" si="86"/>
        <v>-1</v>
      </c>
    </row>
    <row r="82" spans="1:26" s="24" customFormat="1" hidden="1" outlineLevel="2" x14ac:dyDescent="0.25">
      <c r="A82" s="29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79"/>
        <v>0</v>
      </c>
      <c r="G82" s="2"/>
      <c r="H82" s="6">
        <v>14</v>
      </c>
      <c r="I82" s="2"/>
      <c r="J82" s="7">
        <f t="shared" si="80"/>
        <v>0.78212290502793302</v>
      </c>
      <c r="K82" s="2"/>
      <c r="L82" s="6">
        <f t="shared" si="81"/>
        <v>-14</v>
      </c>
      <c r="M82" s="2"/>
      <c r="N82" s="7">
        <f t="shared" si="82"/>
        <v>-1</v>
      </c>
      <c r="O82" s="11"/>
      <c r="P82" s="6"/>
      <c r="Q82" s="2"/>
      <c r="R82" s="7">
        <f t="shared" si="83"/>
        <v>0</v>
      </c>
      <c r="S82" s="2"/>
      <c r="T82" s="6">
        <v>14</v>
      </c>
      <c r="U82" s="2"/>
      <c r="V82" s="7">
        <f t="shared" si="84"/>
        <v>6.5690937278293094E-4</v>
      </c>
      <c r="W82" s="2"/>
      <c r="X82" s="6">
        <f t="shared" si="85"/>
        <v>-14</v>
      </c>
      <c r="Y82" s="2"/>
      <c r="Z82" s="7">
        <f t="shared" si="86"/>
        <v>-1</v>
      </c>
    </row>
    <row r="83" spans="1:26" s="56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292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276</v>
      </c>
      <c r="C86" s="26"/>
      <c r="D86" s="22">
        <f>+D42-D44+D84</f>
        <v>2907.1499999999978</v>
      </c>
      <c r="E86" s="13"/>
      <c r="F86" s="20">
        <f>IF(D$12=0,0,D86/D$12)</f>
        <v>0.11460348334038309</v>
      </c>
      <c r="G86" s="13"/>
      <c r="H86" s="22">
        <f>+H42-H44+H84</f>
        <v>-1406.4899999999957</v>
      </c>
      <c r="I86" s="13"/>
      <c r="J86" s="20">
        <f>IF(H$12=0,0,H86/H$12)</f>
        <v>-78.574860335195297</v>
      </c>
      <c r="K86" s="15"/>
      <c r="L86" s="22">
        <f>+D86-H86</f>
        <v>4313.639999999994</v>
      </c>
      <c r="M86" s="15"/>
      <c r="N86" s="20">
        <f>IF(H86=0,0,L86/H86)</f>
        <v>-3.06695390653329</v>
      </c>
      <c r="O86" s="25"/>
      <c r="P86" s="22">
        <f>+P42-P44+P84</f>
        <v>15023.990000000011</v>
      </c>
      <c r="Q86" s="13"/>
      <c r="R86" s="20">
        <f>IF(P$12=0,0,P86/P$12)</f>
        <v>0.22243810326974173</v>
      </c>
      <c r="S86" s="13"/>
      <c r="T86" s="22">
        <f>+T42-T44+T84</f>
        <v>-4489.1899999999914</v>
      </c>
      <c r="U86" s="13"/>
      <c r="V86" s="20">
        <f>IF(T$12=0,0,T86/T$12)</f>
        <v>-0.21064221337167144</v>
      </c>
      <c r="W86" s="15"/>
      <c r="X86" s="22">
        <f>+P86-T86</f>
        <v>19513.18</v>
      </c>
      <c r="Y86" s="15"/>
      <c r="Z86" s="20">
        <f>IF(T86=0,0,X86/T86)</f>
        <v>-4.3467039710950166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127</v>
      </c>
      <c r="C88" s="10"/>
      <c r="D88" s="4">
        <v>2587.06</v>
      </c>
      <c r="E88" s="4"/>
      <c r="F88" s="12">
        <f>IF(D$12=0,0,D88/D$12)</f>
        <v>0.10198513582394156</v>
      </c>
      <c r="G88" s="4"/>
      <c r="H88" s="4">
        <v>671.8</v>
      </c>
      <c r="I88" s="4"/>
      <c r="J88" s="12">
        <f>IF(H$12=0,0,H88/H$12)</f>
        <v>37.530726256983243</v>
      </c>
      <c r="K88" s="4"/>
      <c r="L88" s="4">
        <f>+D88-H88</f>
        <v>1915.26</v>
      </c>
      <c r="M88" s="4"/>
      <c r="N88" s="12">
        <f>IF(H88=0,0,L88/H88)</f>
        <v>2.8509377791009229</v>
      </c>
      <c r="O88" s="10"/>
      <c r="P88" s="4">
        <v>7807.34</v>
      </c>
      <c r="Q88" s="4"/>
      <c r="R88" s="12">
        <f>IF(P$12=0,0,P88/P$12)</f>
        <v>0.11559179027555158</v>
      </c>
      <c r="S88" s="4"/>
      <c r="T88" s="4">
        <v>4616.62</v>
      </c>
      <c r="U88" s="4"/>
      <c r="V88" s="12">
        <f>IF(T$12=0,0,T88/T$12)</f>
        <v>0.21662149632693817</v>
      </c>
      <c r="W88" s="4"/>
      <c r="X88" s="4">
        <f>+P88-T88</f>
        <v>3190.7200000000003</v>
      </c>
      <c r="Y88" s="4"/>
      <c r="Z88" s="12">
        <f>IF(T88=0,0,X88/T88)</f>
        <v>0.69113767214975463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125</v>
      </c>
      <c r="C90" s="26"/>
      <c r="D90" s="33">
        <f>+D86-D88</f>
        <v>320.08999999999787</v>
      </c>
      <c r="E90" s="13"/>
      <c r="F90" s="31">
        <f>IF(D$12=0,0,D90/D$12)</f>
        <v>1.2618347516441534E-2</v>
      </c>
      <c r="G90" s="13"/>
      <c r="H90" s="33">
        <f>+H86-H88</f>
        <v>-2078.2899999999954</v>
      </c>
      <c r="I90" s="13"/>
      <c r="J90" s="31">
        <f>IF(H$12=0,0,H90/H$12)</f>
        <v>-116.10558659217853</v>
      </c>
      <c r="K90" s="15"/>
      <c r="L90" s="33">
        <f>D90-H90</f>
        <v>2398.3799999999933</v>
      </c>
      <c r="M90" s="15"/>
      <c r="N90" s="31">
        <f>IF(H90=0,0,L90/H90)</f>
        <v>-1.1540160420345567</v>
      </c>
      <c r="O90" s="25"/>
      <c r="P90" s="33">
        <f>+P86-P88</f>
        <v>7216.6500000000106</v>
      </c>
      <c r="Q90" s="13"/>
      <c r="R90" s="31">
        <f>IF(P$12=0,0,P90/P$12)</f>
        <v>0.10684631299419016</v>
      </c>
      <c r="S90" s="13"/>
      <c r="T90" s="33">
        <f>+T86-T88</f>
        <v>-9105.8099999999904</v>
      </c>
      <c r="U90" s="13"/>
      <c r="V90" s="31">
        <f>IF(T$12=0,0,T90/T$12)</f>
        <v>-0.42726370969860955</v>
      </c>
      <c r="W90" s="15"/>
      <c r="X90" s="33">
        <f>P90-T90</f>
        <v>16322.460000000001</v>
      </c>
      <c r="Y90" s="15"/>
      <c r="Z90" s="31">
        <f>IF(T90=0,0,X90/T90)</f>
        <v>-1.7925324600447428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293</v>
      </c>
      <c r="C93" s="26"/>
      <c r="D93" s="34">
        <f>SUM(D90:D92)</f>
        <v>320.08999999999787</v>
      </c>
      <c r="E93" s="13"/>
      <c r="F93" s="30">
        <f>IF(D$12=0,0,D93/D$12)</f>
        <v>1.2618347516441534E-2</v>
      </c>
      <c r="G93" s="13"/>
      <c r="H93" s="34">
        <f>SUM(H90:H92)</f>
        <v>-2078.2899999999954</v>
      </c>
      <c r="I93" s="13"/>
      <c r="J93" s="30">
        <f>IF(H$12=0,0,H93/H$12)</f>
        <v>-116.10558659217853</v>
      </c>
      <c r="K93" s="15"/>
      <c r="L93" s="34">
        <f>+D93-H93</f>
        <v>2398.3799999999933</v>
      </c>
      <c r="M93" s="15"/>
      <c r="N93" s="30">
        <f>IF(H93=0,0,L93/H93)</f>
        <v>-1.1540160420345567</v>
      </c>
      <c r="O93" s="25"/>
      <c r="P93" s="34">
        <f>SUM(P90:P92)</f>
        <v>7216.6500000000106</v>
      </c>
      <c r="Q93" s="13"/>
      <c r="R93" s="30">
        <f>IF(P$12=0,0,P93/P$12)</f>
        <v>0.10684631299419016</v>
      </c>
      <c r="S93" s="13"/>
      <c r="T93" s="34">
        <f>SUM(T90:T92)</f>
        <v>-9105.8099999999904</v>
      </c>
      <c r="U93" s="13"/>
      <c r="V93" s="30">
        <f>IF(T$12=0,0,T93/T$12)</f>
        <v>-0.42726370969860955</v>
      </c>
      <c r="W93" s="15"/>
      <c r="X93" s="34">
        <f>+P93-T93</f>
        <v>16322.460000000001</v>
      </c>
      <c r="Y93" s="15"/>
      <c r="Z93" s="30">
        <f>IF(T93=0,0,X93/T93)</f>
        <v>-1.7925324600447428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1">
        <v>44517.967017164352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7" t="s">
        <v>56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8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25367.03</v>
      </c>
      <c r="E12" s="4"/>
      <c r="F12" s="12"/>
      <c r="G12" s="4"/>
      <c r="H12" s="4">
        <f>SUM(OSRRefH13x_0)</f>
        <v>17.899999999999999</v>
      </c>
      <c r="I12" s="4"/>
      <c r="J12" s="12"/>
      <c r="K12" s="4"/>
      <c r="L12" s="4">
        <f t="shared" ref="L12:L25" si="0">+D12-H12</f>
        <v>25349.129999999997</v>
      </c>
      <c r="M12" s="4"/>
      <c r="N12" s="12">
        <f t="shared" ref="N12:N25" si="1">IF(H12=0,0,L12/H12)</f>
        <v>1416.1525139664805</v>
      </c>
      <c r="O12" s="10"/>
      <c r="P12" s="4">
        <f>SUM(OSRRefP13x_0)</f>
        <v>67542.340000000011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5" si="2">+P12-T12</f>
        <v>46230.420000000013</v>
      </c>
      <c r="Y12" s="4"/>
      <c r="Z12" s="12">
        <f t="shared" ref="Z12:Z25" si="3">IF(T12=0,0,X12/T12)</f>
        <v>2.1692283004065338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--16412.68</f>
        <v>16412.68</v>
      </c>
      <c r="E13" s="2"/>
      <c r="F13" s="19"/>
      <c r="G13" s="2"/>
      <c r="H13" s="2">
        <f>-1.74</f>
        <v>-1.74</v>
      </c>
      <c r="I13" s="2"/>
      <c r="J13" s="19"/>
      <c r="K13" s="2"/>
      <c r="L13" s="2">
        <f t="shared" si="0"/>
        <v>16414.420000000002</v>
      </c>
      <c r="M13" s="2"/>
      <c r="N13" s="19">
        <f t="shared" si="1"/>
        <v>-9433.57471264368</v>
      </c>
      <c r="O13" s="11"/>
      <c r="P13" s="2">
        <f>--51249.05</f>
        <v>51249.05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52345.490000000005</v>
      </c>
      <c r="Y13" s="2"/>
      <c r="Z13" s="19">
        <f t="shared" si="3"/>
        <v>-47.741317354346798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4">0</f>
        <v>0</v>
      </c>
      <c r="E14" s="2"/>
      <c r="F14" s="19"/>
      <c r="G14" s="2"/>
      <c r="H14" s="2">
        <f t="shared" ref="H14:H16" si="5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--5.18</f>
        <v>5.18</v>
      </c>
      <c r="I17" s="2"/>
      <c r="J17" s="19"/>
      <c r="K17" s="2"/>
      <c r="L17" s="2">
        <f t="shared" si="0"/>
        <v>-5.18</v>
      </c>
      <c r="M17" s="2"/>
      <c r="N17" s="19">
        <f t="shared" si="1"/>
        <v>-1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>
        <f t="shared" ref="H18:H20" si="7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>
        <f t="shared" si="7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--9316.24</f>
        <v>9316.24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9316.24</v>
      </c>
      <c r="M20" s="2"/>
      <c r="N20" s="19">
        <f t="shared" si="1"/>
        <v>0</v>
      </c>
      <c r="O20" s="11"/>
      <c r="P20" s="2">
        <f>--17319.17</f>
        <v>17319.169999999998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17319.169999999998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>0</f>
        <v>0</v>
      </c>
      <c r="E21" s="2"/>
      <c r="F21" s="19"/>
      <c r="G21" s="2"/>
      <c r="H21" s="2">
        <f>--14.46</f>
        <v>14.46</v>
      </c>
      <c r="I21" s="2"/>
      <c r="J21" s="19"/>
      <c r="K21" s="2"/>
      <c r="L21" s="2">
        <f t="shared" si="0"/>
        <v>-14.46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--1847.16</f>
        <v>1847.16</v>
      </c>
      <c r="U21" s="2"/>
      <c r="V21" s="19"/>
      <c r="W21" s="2"/>
      <c r="X21" s="2">
        <f t="shared" si="2"/>
        <v>-1847.16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"4200", " - ", "TAXABLE RETURNS")</f>
        <v xml:space="preserve">          4200 - TAXABLE RETURNS</v>
      </c>
      <c r="C22" s="11"/>
      <c r="D22" s="2">
        <f>-211.3</f>
        <v>-211.3</v>
      </c>
      <c r="E22" s="2"/>
      <c r="F22" s="19"/>
      <c r="G22" s="2"/>
      <c r="H22" s="2">
        <f t="shared" ref="H22:H25" si="8">0</f>
        <v>0</v>
      </c>
      <c r="I22" s="2"/>
      <c r="J22" s="19"/>
      <c r="K22" s="2"/>
      <c r="L22" s="2">
        <f t="shared" si="0"/>
        <v>-211.3</v>
      </c>
      <c r="M22" s="2"/>
      <c r="N22" s="19">
        <f t="shared" si="1"/>
        <v>0</v>
      </c>
      <c r="O22" s="11"/>
      <c r="P22" s="2">
        <f>-875.29</f>
        <v>-875.29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-875.29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"4227", " - ", "SALES RETURN TAXABLE-SCHOOL SU")</f>
        <v xml:space="preserve">          4227 - SALES RETURN TAXABLE-SCHOOL SU</v>
      </c>
      <c r="C23" s="11"/>
      <c r="D23" s="2">
        <f t="shared" ref="D23:D24" si="9">0</f>
        <v>0</v>
      </c>
      <c r="E23" s="2"/>
      <c r="F23" s="19"/>
      <c r="G23" s="2"/>
      <c r="H23" s="2">
        <f t="shared" si="8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10">0</f>
        <v>0</v>
      </c>
      <c r="Q23" s="2"/>
      <c r="R23" s="19"/>
      <c r="S23" s="2"/>
      <c r="T23" s="2">
        <f>-159.97</f>
        <v>-159.97</v>
      </c>
      <c r="U23" s="2"/>
      <c r="V23" s="19"/>
      <c r="W23" s="2"/>
      <c r="X23" s="2">
        <f t="shared" si="2"/>
        <v>159.97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"4228", " - ", "SALES RETURN TAXABLE-ART/TECH")</f>
        <v xml:space="preserve">          4228 - SALES RETURN TAXABLE-ART/TECH</v>
      </c>
      <c r="C24" s="11"/>
      <c r="D24" s="2">
        <f t="shared" si="9"/>
        <v>0</v>
      </c>
      <c r="E24" s="2"/>
      <c r="F24" s="19"/>
      <c r="G24" s="2"/>
      <c r="H24" s="2">
        <f t="shared" si="8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10"/>
        <v>0</v>
      </c>
      <c r="Q24" s="2"/>
      <c r="R24" s="19"/>
      <c r="S24" s="2"/>
      <c r="T24" s="2">
        <f>-222.2</f>
        <v>-222.2</v>
      </c>
      <c r="U24" s="2"/>
      <c r="V24" s="19"/>
      <c r="W24" s="2"/>
      <c r="X24" s="2">
        <f t="shared" si="2"/>
        <v>222.2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"4500", " - ", "SALES DISCOUNT")</f>
        <v xml:space="preserve">          4500 - SALES DISCOUNT</v>
      </c>
      <c r="C25" s="11"/>
      <c r="D25" s="2">
        <f>-150.59</f>
        <v>-150.59</v>
      </c>
      <c r="E25" s="2"/>
      <c r="F25" s="19"/>
      <c r="G25" s="2"/>
      <c r="H25" s="2">
        <f t="shared" si="8"/>
        <v>0</v>
      </c>
      <c r="I25" s="2"/>
      <c r="J25" s="19"/>
      <c r="K25" s="2"/>
      <c r="L25" s="2">
        <f t="shared" si="0"/>
        <v>-150.59</v>
      </c>
      <c r="M25" s="2"/>
      <c r="N25" s="19">
        <f t="shared" si="1"/>
        <v>0</v>
      </c>
      <c r="O25" s="11"/>
      <c r="P25" s="2">
        <f>-150.59</f>
        <v>-150.59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-150.59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5" t="s">
        <v>256</v>
      </c>
      <c r="C27" s="10"/>
      <c r="D27" s="4">
        <f>SUM(OSRRefD16x_0)</f>
        <v>13841.29</v>
      </c>
      <c r="E27" s="4"/>
      <c r="F27" s="12">
        <f t="shared" ref="F27:F37" si="11">IF(D$12=0,0,D27/D$12)</f>
        <v>0.54564093628619514</v>
      </c>
      <c r="G27" s="4"/>
      <c r="H27" s="4">
        <f>SUM(OSRRefH16x_0)</f>
        <v>-4.3769432522822171E-12</v>
      </c>
      <c r="I27" s="4"/>
      <c r="J27" s="12">
        <f t="shared" ref="J27:J37" si="12">IF(H$12=0,0,H27/H$12)</f>
        <v>-2.4452196940124118E-13</v>
      </c>
      <c r="K27" s="4"/>
      <c r="L27" s="4">
        <f t="shared" ref="L27:L37" si="13">+D27-H27</f>
        <v>13841.290000000005</v>
      </c>
      <c r="M27" s="4"/>
      <c r="N27" s="12">
        <f t="shared" ref="N27:N37" si="14">IF(H27=0,0,L27/H27)</f>
        <v>-3162318815256036.5</v>
      </c>
      <c r="O27" s="10"/>
      <c r="P27" s="4">
        <f>SUM(OSRRefP16x_0)</f>
        <v>38301.46</v>
      </c>
      <c r="Q27" s="4"/>
      <c r="R27" s="12">
        <f t="shared" ref="R27:R37" si="15">IF(P$12=0,0,P27/P$12)</f>
        <v>0.56707333503695601</v>
      </c>
      <c r="S27" s="4"/>
      <c r="T27" s="4">
        <f>SUM(OSRRefT16x_0)</f>
        <v>14183.049999999994</v>
      </c>
      <c r="U27" s="4"/>
      <c r="V27" s="12">
        <f t="shared" ref="V27:V37" si="16">IF(T$12=0,0,T27/T$12)</f>
        <v>0.66549846283206748</v>
      </c>
      <c r="W27" s="4"/>
      <c r="X27" s="4">
        <f t="shared" ref="X27:X37" si="17">+P27-T27</f>
        <v>24118.410000000003</v>
      </c>
      <c r="Y27" s="4"/>
      <c r="Z27" s="12">
        <f t="shared" ref="Z27:Z37" si="18">IF(T27=0,0,X27/T27)</f>
        <v>1.7005094108812995</v>
      </c>
    </row>
    <row r="28" spans="1:26" s="24" customFormat="1" hidden="1" outlineLevel="1" x14ac:dyDescent="0.25">
      <c r="A28" s="44"/>
      <c r="B28" s="11" t="str">
        <f>CONCATENATE("          ", "5000", " - ", "PURCHASES @ COST")</f>
        <v xml:space="preserve">          5000 - PURCHASES @ COST</v>
      </c>
      <c r="C28" s="11"/>
      <c r="D28" s="2">
        <v>22158.639999999999</v>
      </c>
      <c r="E28" s="2"/>
      <c r="F28" s="19">
        <f t="shared" si="11"/>
        <v>0.8735212596823515</v>
      </c>
      <c r="G28" s="2"/>
      <c r="H28" s="2"/>
      <c r="I28" s="2"/>
      <c r="J28" s="19">
        <f t="shared" si="12"/>
        <v>0</v>
      </c>
      <c r="K28" s="2"/>
      <c r="L28" s="2">
        <f t="shared" si="13"/>
        <v>22158.639999999999</v>
      </c>
      <c r="M28" s="2"/>
      <c r="N28" s="19">
        <f t="shared" si="14"/>
        <v>0</v>
      </c>
      <c r="O28" s="11"/>
      <c r="P28" s="2">
        <v>47391.75</v>
      </c>
      <c r="Q28" s="2"/>
      <c r="R28" s="19">
        <f t="shared" si="15"/>
        <v>0.7016598773450845</v>
      </c>
      <c r="S28" s="2"/>
      <c r="T28" s="2"/>
      <c r="U28" s="2"/>
      <c r="V28" s="19">
        <f t="shared" si="16"/>
        <v>0</v>
      </c>
      <c r="W28" s="2"/>
      <c r="X28" s="2">
        <f t="shared" si="17"/>
        <v>47391.75</v>
      </c>
      <c r="Y28" s="2"/>
      <c r="Z28" s="19">
        <f t="shared" si="18"/>
        <v>0</v>
      </c>
    </row>
    <row r="29" spans="1:26" s="24" customFormat="1" hidden="1" outlineLevel="1" x14ac:dyDescent="0.25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/>
      <c r="E29" s="2"/>
      <c r="F29" s="19">
        <f t="shared" si="11"/>
        <v>0</v>
      </c>
      <c r="G29" s="2"/>
      <c r="H29" s="2">
        <v>370.02</v>
      </c>
      <c r="I29" s="2"/>
      <c r="J29" s="19">
        <f t="shared" si="12"/>
        <v>20.67150837988827</v>
      </c>
      <c r="K29" s="2"/>
      <c r="L29" s="2">
        <f t="shared" si="13"/>
        <v>-370.02</v>
      </c>
      <c r="M29" s="2"/>
      <c r="N29" s="19">
        <f t="shared" si="14"/>
        <v>-1</v>
      </c>
      <c r="O29" s="11"/>
      <c r="P29" s="2">
        <v>0</v>
      </c>
      <c r="Q29" s="2"/>
      <c r="R29" s="19">
        <f t="shared" si="15"/>
        <v>0</v>
      </c>
      <c r="S29" s="2"/>
      <c r="T29" s="2">
        <v>370.02</v>
      </c>
      <c r="U29" s="2"/>
      <c r="V29" s="19">
        <f t="shared" si="16"/>
        <v>1.7362114722652863E-2</v>
      </c>
      <c r="W29" s="2"/>
      <c r="X29" s="2">
        <f t="shared" si="17"/>
        <v>-370.02</v>
      </c>
      <c r="Y29" s="2"/>
      <c r="Z29" s="19">
        <f t="shared" si="18"/>
        <v>-1</v>
      </c>
    </row>
    <row r="30" spans="1:26" s="24" customFormat="1" hidden="1" outlineLevel="1" x14ac:dyDescent="0.25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/>
      <c r="E30" s="2"/>
      <c r="F30" s="19">
        <f t="shared" si="11"/>
        <v>0</v>
      </c>
      <c r="G30" s="2"/>
      <c r="H30" s="2">
        <v>895.47</v>
      </c>
      <c r="I30" s="2"/>
      <c r="J30" s="19">
        <f t="shared" si="12"/>
        <v>50.026256983240231</v>
      </c>
      <c r="K30" s="2"/>
      <c r="L30" s="2">
        <f t="shared" si="13"/>
        <v>-895.47</v>
      </c>
      <c r="M30" s="2"/>
      <c r="N30" s="19">
        <f t="shared" si="14"/>
        <v>-1</v>
      </c>
      <c r="O30" s="11"/>
      <c r="P30" s="2">
        <v>0</v>
      </c>
      <c r="Q30" s="2"/>
      <c r="R30" s="19">
        <f t="shared" si="15"/>
        <v>0</v>
      </c>
      <c r="S30" s="2"/>
      <c r="T30" s="2">
        <v>895.47</v>
      </c>
      <c r="U30" s="2"/>
      <c r="V30" s="19">
        <f t="shared" si="16"/>
        <v>4.201733114613794E-2</v>
      </c>
      <c r="W30" s="2"/>
      <c r="X30" s="2">
        <f t="shared" si="17"/>
        <v>-895.47</v>
      </c>
      <c r="Y30" s="2"/>
      <c r="Z30" s="19">
        <f t="shared" si="18"/>
        <v>-1</v>
      </c>
    </row>
    <row r="31" spans="1:26" s="24" customFormat="1" hidden="1" outlineLevel="1" x14ac:dyDescent="0.25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/>
      <c r="E31" s="2"/>
      <c r="F31" s="19">
        <f t="shared" si="11"/>
        <v>0</v>
      </c>
      <c r="G31" s="2"/>
      <c r="H31" s="2">
        <v>41425.96</v>
      </c>
      <c r="I31" s="2"/>
      <c r="J31" s="19">
        <f t="shared" si="12"/>
        <v>2314.2994413407823</v>
      </c>
      <c r="K31" s="2"/>
      <c r="L31" s="2">
        <f t="shared" si="13"/>
        <v>-41425.96</v>
      </c>
      <c r="M31" s="2"/>
      <c r="N31" s="19">
        <f t="shared" si="14"/>
        <v>-1</v>
      </c>
      <c r="O31" s="11"/>
      <c r="P31" s="2">
        <v>0</v>
      </c>
      <c r="Q31" s="2"/>
      <c r="R31" s="19">
        <f t="shared" si="15"/>
        <v>0</v>
      </c>
      <c r="S31" s="2"/>
      <c r="T31" s="2">
        <v>41425.96</v>
      </c>
      <c r="U31" s="2"/>
      <c r="V31" s="19">
        <f t="shared" si="16"/>
        <v>1.9437929571807704</v>
      </c>
      <c r="W31" s="2"/>
      <c r="X31" s="2">
        <f t="shared" si="17"/>
        <v>-41425.96</v>
      </c>
      <c r="Y31" s="2"/>
      <c r="Z31" s="19">
        <f t="shared" si="18"/>
        <v>-1</v>
      </c>
    </row>
    <row r="32" spans="1:26" s="24" customFormat="1" hidden="1" outlineLevel="1" x14ac:dyDescent="0.25">
      <c r="A32" s="44"/>
      <c r="B32" s="11" t="str">
        <f>CONCATENATE("          ", "5031", " - ", "PURCHASES @ COST-FOOD")</f>
        <v xml:space="preserve">          5031 - PURCHASES @ COST-FOOD</v>
      </c>
      <c r="C32" s="11"/>
      <c r="D32" s="2"/>
      <c r="E32" s="2"/>
      <c r="F32" s="19">
        <f t="shared" si="11"/>
        <v>0</v>
      </c>
      <c r="G32" s="2"/>
      <c r="H32" s="2">
        <v>47.26</v>
      </c>
      <c r="I32" s="2"/>
      <c r="J32" s="19">
        <f t="shared" si="12"/>
        <v>2.6402234636871511</v>
      </c>
      <c r="K32" s="2"/>
      <c r="L32" s="2">
        <f t="shared" si="13"/>
        <v>-47.26</v>
      </c>
      <c r="M32" s="2"/>
      <c r="N32" s="19">
        <f t="shared" si="14"/>
        <v>-1</v>
      </c>
      <c r="O32" s="11"/>
      <c r="P32" s="2">
        <v>0</v>
      </c>
      <c r="Q32" s="2"/>
      <c r="R32" s="19">
        <f t="shared" si="15"/>
        <v>0</v>
      </c>
      <c r="S32" s="2"/>
      <c r="T32" s="2">
        <v>2929.67</v>
      </c>
      <c r="U32" s="2"/>
      <c r="V32" s="19">
        <f t="shared" si="16"/>
        <v>0.13746626301149781</v>
      </c>
      <c r="W32" s="2"/>
      <c r="X32" s="2">
        <f t="shared" si="17"/>
        <v>-2929.67</v>
      </c>
      <c r="Y32" s="2"/>
      <c r="Z32" s="19">
        <f t="shared" si="18"/>
        <v>-1</v>
      </c>
    </row>
    <row r="33" spans="1:26" s="24" customFormat="1" hidden="1" outlineLevel="1" x14ac:dyDescent="0.25">
      <c r="A33" s="44"/>
      <c r="B33" s="11" t="str">
        <f>CONCATENATE("          ", "5042", " - ", "PURCHASES @ COST-EVERYDAY GIFT")</f>
        <v xml:space="preserve">          5042 - PURCHASES @ COST-EVERYDAY GIFT</v>
      </c>
      <c r="C33" s="11"/>
      <c r="D33" s="2"/>
      <c r="E33" s="2"/>
      <c r="F33" s="19">
        <f t="shared" si="11"/>
        <v>0</v>
      </c>
      <c r="G33" s="2"/>
      <c r="H33" s="2"/>
      <c r="I33" s="2"/>
      <c r="J33" s="19">
        <f t="shared" si="12"/>
        <v>0</v>
      </c>
      <c r="K33" s="2"/>
      <c r="L33" s="2">
        <f t="shared" si="13"/>
        <v>0</v>
      </c>
      <c r="M33" s="2"/>
      <c r="N33" s="19">
        <f t="shared" si="14"/>
        <v>0</v>
      </c>
      <c r="O33" s="11"/>
      <c r="P33" s="2">
        <v>0</v>
      </c>
      <c r="Q33" s="2"/>
      <c r="R33" s="19">
        <f t="shared" si="15"/>
        <v>0</v>
      </c>
      <c r="S33" s="2"/>
      <c r="T33" s="2"/>
      <c r="U33" s="2"/>
      <c r="V33" s="19">
        <f t="shared" si="16"/>
        <v>0</v>
      </c>
      <c r="W33" s="2"/>
      <c r="X33" s="2">
        <f t="shared" si="17"/>
        <v>0</v>
      </c>
      <c r="Y33" s="2"/>
      <c r="Z33" s="19">
        <f t="shared" si="18"/>
        <v>0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>
        <v>-22717.1</v>
      </c>
      <c r="E34" s="2"/>
      <c r="F34" s="19">
        <f t="shared" si="11"/>
        <v>-0.89553645026634965</v>
      </c>
      <c r="G34" s="2"/>
      <c r="H34" s="2">
        <v>-42974.16</v>
      </c>
      <c r="I34" s="2"/>
      <c r="J34" s="19">
        <f t="shared" si="12"/>
        <v>-2400.7910614525144</v>
      </c>
      <c r="K34" s="2"/>
      <c r="L34" s="2">
        <f t="shared" si="13"/>
        <v>20257.060000000005</v>
      </c>
      <c r="M34" s="2"/>
      <c r="N34" s="19">
        <f t="shared" si="14"/>
        <v>-0.47137768370574323</v>
      </c>
      <c r="O34" s="11"/>
      <c r="P34" s="2">
        <v>-48143.98</v>
      </c>
      <c r="Q34" s="2"/>
      <c r="R34" s="19">
        <f t="shared" si="15"/>
        <v>-0.71279703960508323</v>
      </c>
      <c r="S34" s="2"/>
      <c r="T34" s="2">
        <v>-45863.33</v>
      </c>
      <c r="U34" s="2"/>
      <c r="V34" s="19">
        <f t="shared" si="16"/>
        <v>-2.1520036674311842</v>
      </c>
      <c r="W34" s="2"/>
      <c r="X34" s="2">
        <f t="shared" si="17"/>
        <v>-2280.6500000000015</v>
      </c>
      <c r="Y34" s="2"/>
      <c r="Z34" s="19">
        <f t="shared" si="18"/>
        <v>4.9727091338548711E-2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>
        <v>13841.29</v>
      </c>
      <c r="E35" s="2"/>
      <c r="F35" s="19">
        <f t="shared" si="11"/>
        <v>0.54564093628619514</v>
      </c>
      <c r="G35" s="2"/>
      <c r="H35" s="2"/>
      <c r="I35" s="2"/>
      <c r="J35" s="19">
        <f t="shared" si="12"/>
        <v>0</v>
      </c>
      <c r="K35" s="2"/>
      <c r="L35" s="2">
        <f t="shared" si="13"/>
        <v>13841.29</v>
      </c>
      <c r="M35" s="2"/>
      <c r="N35" s="19">
        <f t="shared" si="14"/>
        <v>0</v>
      </c>
      <c r="O35" s="11"/>
      <c r="P35" s="2">
        <v>38301.46</v>
      </c>
      <c r="Q35" s="2"/>
      <c r="R35" s="19">
        <f t="shared" si="15"/>
        <v>0.56707333503695601</v>
      </c>
      <c r="S35" s="2"/>
      <c r="T35" s="2">
        <v>14145</v>
      </c>
      <c r="U35" s="2"/>
      <c r="V35" s="19">
        <f t="shared" si="16"/>
        <v>0.66371307700103988</v>
      </c>
      <c r="W35" s="2"/>
      <c r="X35" s="2">
        <f t="shared" si="17"/>
        <v>24156.46</v>
      </c>
      <c r="Y35" s="2"/>
      <c r="Z35" s="19">
        <f t="shared" si="18"/>
        <v>1.7077737716507599</v>
      </c>
    </row>
    <row r="36" spans="1:26" s="24" customFormat="1" hidden="1" outlineLevel="1" x14ac:dyDescent="0.25">
      <c r="A36" s="44"/>
      <c r="B36" s="11" t="str">
        <f>CONCATENATE("          ", "5500", " - ", "FREIGHT-IN")</f>
        <v xml:space="preserve">          5500 - FREIGHT-IN</v>
      </c>
      <c r="C36" s="11"/>
      <c r="D36" s="2">
        <v>558.46</v>
      </c>
      <c r="E36" s="2"/>
      <c r="F36" s="19">
        <f t="shared" si="11"/>
        <v>2.2015190583998208E-2</v>
      </c>
      <c r="G36" s="2"/>
      <c r="H36" s="2"/>
      <c r="I36" s="2"/>
      <c r="J36" s="19">
        <f t="shared" si="12"/>
        <v>0</v>
      </c>
      <c r="K36" s="2"/>
      <c r="L36" s="2">
        <f t="shared" si="13"/>
        <v>558.46</v>
      </c>
      <c r="M36" s="2"/>
      <c r="N36" s="19">
        <f t="shared" si="14"/>
        <v>0</v>
      </c>
      <c r="O36" s="11"/>
      <c r="P36" s="2">
        <v>752.23</v>
      </c>
      <c r="Q36" s="2"/>
      <c r="R36" s="19">
        <f t="shared" si="15"/>
        <v>1.113716225999869E-2</v>
      </c>
      <c r="S36" s="2"/>
      <c r="T36" s="2"/>
      <c r="U36" s="2"/>
      <c r="V36" s="19">
        <f t="shared" si="16"/>
        <v>0</v>
      </c>
      <c r="W36" s="2"/>
      <c r="X36" s="2">
        <f t="shared" si="17"/>
        <v>752.23</v>
      </c>
      <c r="Y36" s="2"/>
      <c r="Z36" s="19">
        <f t="shared" si="18"/>
        <v>0</v>
      </c>
    </row>
    <row r="37" spans="1:26" s="24" customFormat="1" hidden="1" outlineLevel="1" x14ac:dyDescent="0.25">
      <c r="A37" s="44"/>
      <c r="B37" s="11" t="str">
        <f>CONCATENATE("          ", "5528", " - ", "FREIGHT-IN-ART/TECH")</f>
        <v xml:space="preserve">          5528 - FREIGHT-IN-ART/TECH</v>
      </c>
      <c r="C37" s="11"/>
      <c r="D37" s="2"/>
      <c r="E37" s="2"/>
      <c r="F37" s="19">
        <f t="shared" si="11"/>
        <v>0</v>
      </c>
      <c r="G37" s="2"/>
      <c r="H37" s="2">
        <v>235.45</v>
      </c>
      <c r="I37" s="2"/>
      <c r="J37" s="19">
        <f t="shared" si="12"/>
        <v>13.153631284916202</v>
      </c>
      <c r="K37" s="2"/>
      <c r="L37" s="2">
        <f t="shared" si="13"/>
        <v>-235.45</v>
      </c>
      <c r="M37" s="2"/>
      <c r="N37" s="19">
        <f t="shared" si="14"/>
        <v>-1</v>
      </c>
      <c r="O37" s="11"/>
      <c r="P37" s="2">
        <v>0</v>
      </c>
      <c r="Q37" s="2"/>
      <c r="R37" s="19">
        <f t="shared" si="15"/>
        <v>0</v>
      </c>
      <c r="S37" s="2"/>
      <c r="T37" s="2">
        <v>280.26</v>
      </c>
      <c r="U37" s="2"/>
      <c r="V37" s="19">
        <f t="shared" si="16"/>
        <v>1.3150387201153158E-2</v>
      </c>
      <c r="W37" s="2"/>
      <c r="X37" s="2">
        <f t="shared" si="17"/>
        <v>-280.26</v>
      </c>
      <c r="Y37" s="2"/>
      <c r="Z37" s="19">
        <f t="shared" si="18"/>
        <v>-1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6" t="s">
        <v>107</v>
      </c>
      <c r="C39" s="26"/>
      <c r="D39" s="22">
        <f>D12-D27</f>
        <v>11525.739999999998</v>
      </c>
      <c r="E39" s="13"/>
      <c r="F39" s="20">
        <f>IF(D$12=0,0,D39/D$12)</f>
        <v>0.4543590637138048</v>
      </c>
      <c r="G39" s="13"/>
      <c r="H39" s="22">
        <f>H12-H27</f>
        <v>17.900000000004376</v>
      </c>
      <c r="I39" s="13"/>
      <c r="J39" s="20">
        <f>IF(H$12=0,0,H39/H$12)</f>
        <v>1.0000000000002445</v>
      </c>
      <c r="K39" s="15"/>
      <c r="L39" s="22">
        <f>+D39-H39</f>
        <v>11507.839999999993</v>
      </c>
      <c r="M39" s="15"/>
      <c r="N39" s="20">
        <f>IF(H39=0,0,L39/H39)</f>
        <v>642.89608938531728</v>
      </c>
      <c r="O39" s="25"/>
      <c r="P39" s="22">
        <f>P12-P27</f>
        <v>29240.880000000012</v>
      </c>
      <c r="Q39" s="13"/>
      <c r="R39" s="20">
        <f>IF(P$12=0,0,P39/P$12)</f>
        <v>0.43292666496304405</v>
      </c>
      <c r="S39" s="13"/>
      <c r="T39" s="22">
        <f>T12-T27</f>
        <v>7128.8700000000044</v>
      </c>
      <c r="U39" s="13"/>
      <c r="V39" s="20">
        <f>IF(T$12=0,0,T39/T$12)</f>
        <v>0.33450153716793257</v>
      </c>
      <c r="W39" s="15"/>
      <c r="X39" s="22">
        <f>+P39-T39</f>
        <v>22112.010000000009</v>
      </c>
      <c r="Y39" s="15"/>
      <c r="Z39" s="20">
        <f>IF(T39=0,0,X39/T39)</f>
        <v>3.1017552571445397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5" t="s">
        <v>294</v>
      </c>
      <c r="C41" s="10"/>
      <c r="D41" s="21">
        <f>SUM(OSRRefD22x_0)</f>
        <v>8618.59</v>
      </c>
      <c r="E41" s="21"/>
      <c r="F41" s="36">
        <f t="shared" ref="F41:F45" si="19">IF(D$12=0,0,D41/D$12)</f>
        <v>0.33975558037342174</v>
      </c>
      <c r="G41" s="21"/>
      <c r="H41" s="21">
        <f>SUM(OSRRefH22x_0)</f>
        <v>1424.39</v>
      </c>
      <c r="I41" s="21"/>
      <c r="J41" s="36">
        <f t="shared" ref="J41:J45" si="20">IF(H$12=0,0,H41/H$12)</f>
        <v>79.574860335195538</v>
      </c>
      <c r="K41" s="4"/>
      <c r="L41" s="21">
        <f t="shared" ref="L41:L45" si="21">+D41-H41</f>
        <v>7194.2</v>
      </c>
      <c r="M41" s="4"/>
      <c r="N41" s="36">
        <f t="shared" ref="N41:N45" si="22">IF(H41=0,0,L41/H41)</f>
        <v>5.0507234675896342</v>
      </c>
      <c r="O41" s="10"/>
      <c r="P41" s="21">
        <f>SUM(OSRRefP22x_0)</f>
        <v>14216.890000000001</v>
      </c>
      <c r="Q41" s="21"/>
      <c r="R41" s="36">
        <f t="shared" ref="R41:R45" si="23">IF(P$12=0,0,P41/P$12)</f>
        <v>0.2104885616933023</v>
      </c>
      <c r="S41" s="21"/>
      <c r="T41" s="21">
        <f>SUM(OSRRefT22x_0)</f>
        <v>11618.059999999996</v>
      </c>
      <c r="U41" s="21"/>
      <c r="V41" s="36">
        <f t="shared" ref="V41:V45" si="24">IF(T$12=0,0,T41/T$12)</f>
        <v>0.54514375053960396</v>
      </c>
      <c r="W41" s="4"/>
      <c r="X41" s="21">
        <f t="shared" ref="X41:X45" si="25">+P41-T41</f>
        <v>2598.8300000000054</v>
      </c>
      <c r="Y41" s="4"/>
      <c r="Z41" s="36">
        <f t="shared" ref="Z41:Z45" si="26">IF(T41=0,0,X41/T41)</f>
        <v>0.22368880863070137</v>
      </c>
    </row>
    <row r="42" spans="1:26" s="28" customFormat="1" outlineLevel="1" collapsed="1" x14ac:dyDescent="0.25">
      <c r="A42" s="27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130.36000000000001</v>
      </c>
      <c r="E42" s="1"/>
      <c r="F42" s="5">
        <f t="shared" si="19"/>
        <v>5.1389539887010827E-3</v>
      </c>
      <c r="G42" s="1"/>
      <c r="H42" s="1">
        <f>SUM(OSRRefH22_0x_0)</f>
        <v>214.64</v>
      </c>
      <c r="I42" s="1"/>
      <c r="J42" s="5">
        <f t="shared" si="20"/>
        <v>11.991061452513966</v>
      </c>
      <c r="K42" s="1"/>
      <c r="L42" s="1">
        <f t="shared" si="21"/>
        <v>-84.279999999999973</v>
      </c>
      <c r="M42" s="1"/>
      <c r="N42" s="5">
        <f t="shared" si="22"/>
        <v>-0.39265747297800957</v>
      </c>
      <c r="O42" s="14"/>
      <c r="P42" s="1">
        <f>SUM(OSRRefP22_0x_0)</f>
        <v>130.36000000000001</v>
      </c>
      <c r="Q42" s="1"/>
      <c r="R42" s="5">
        <f t="shared" si="23"/>
        <v>1.930048618392552E-3</v>
      </c>
      <c r="S42" s="1"/>
      <c r="T42" s="1">
        <f>SUM(OSRRefT22_0x_0)</f>
        <v>776.81</v>
      </c>
      <c r="U42" s="1"/>
      <c r="V42" s="5">
        <f t="shared" si="24"/>
        <v>3.6449554990822038E-2</v>
      </c>
      <c r="W42" s="1"/>
      <c r="X42" s="1">
        <f t="shared" si="25"/>
        <v>-646.44999999999993</v>
      </c>
      <c r="Y42" s="1"/>
      <c r="Z42" s="5">
        <f t="shared" si="26"/>
        <v>-0.83218547650004504</v>
      </c>
    </row>
    <row r="43" spans="1:26" s="24" customFormat="1" hidden="1" outlineLevel="2" x14ac:dyDescent="0.25">
      <c r="A43" s="29"/>
      <c r="B43" s="11" t="str">
        <f>CONCATENATE("          ", "6111", " - ", "F.I.C.A.")</f>
        <v xml:space="preserve">          6111 - F.I.C.A.</v>
      </c>
      <c r="C43" s="11"/>
      <c r="D43" s="6">
        <v>10.31</v>
      </c>
      <c r="E43" s="2"/>
      <c r="F43" s="7">
        <f t="shared" si="19"/>
        <v>4.0643307474308188E-4</v>
      </c>
      <c r="G43" s="2"/>
      <c r="H43" s="6">
        <v>76.819999999999993</v>
      </c>
      <c r="I43" s="2"/>
      <c r="J43" s="7">
        <f t="shared" si="20"/>
        <v>4.2916201117318433</v>
      </c>
      <c r="K43" s="2"/>
      <c r="L43" s="6">
        <f t="shared" si="21"/>
        <v>-66.509999999999991</v>
      </c>
      <c r="M43" s="2"/>
      <c r="N43" s="7">
        <f t="shared" si="22"/>
        <v>-0.86579015881280907</v>
      </c>
      <c r="O43" s="11"/>
      <c r="P43" s="6">
        <v>10.31</v>
      </c>
      <c r="Q43" s="2"/>
      <c r="R43" s="7">
        <f t="shared" si="23"/>
        <v>1.5264499275565517E-4</v>
      </c>
      <c r="S43" s="2"/>
      <c r="T43" s="6">
        <v>483.22</v>
      </c>
      <c r="U43" s="2"/>
      <c r="V43" s="7">
        <f t="shared" si="24"/>
        <v>2.2673696222583421E-2</v>
      </c>
      <c r="W43" s="2"/>
      <c r="X43" s="6">
        <f t="shared" si="25"/>
        <v>-472.91</v>
      </c>
      <c r="Y43" s="2"/>
      <c r="Z43" s="7">
        <f t="shared" si="26"/>
        <v>-0.97866396258433008</v>
      </c>
    </row>
    <row r="44" spans="1:26" s="24" customFormat="1" hidden="1" outlineLevel="2" x14ac:dyDescent="0.25">
      <c r="A44" s="29"/>
      <c r="B44" s="11" t="str">
        <f>CONCATENATE("          ", "6112", " - ", "COMPENSATION INSURANCE")</f>
        <v xml:space="preserve">          6112 - COMPENSATION INSURANCE</v>
      </c>
      <c r="C44" s="11"/>
      <c r="D44" s="6">
        <v>102.11</v>
      </c>
      <c r="E44" s="2"/>
      <c r="F44" s="7">
        <f t="shared" si="19"/>
        <v>4.0253037111557801E-3</v>
      </c>
      <c r="G44" s="2"/>
      <c r="H44" s="6">
        <v>120.84</v>
      </c>
      <c r="I44" s="2"/>
      <c r="J44" s="7">
        <f t="shared" si="20"/>
        <v>6.7508379888268166</v>
      </c>
      <c r="K44" s="2"/>
      <c r="L44" s="6">
        <f t="shared" si="21"/>
        <v>-18.730000000000004</v>
      </c>
      <c r="M44" s="2"/>
      <c r="N44" s="7">
        <f t="shared" si="22"/>
        <v>-0.15499834491890105</v>
      </c>
      <c r="O44" s="11"/>
      <c r="P44" s="6">
        <v>102.11</v>
      </c>
      <c r="Q44" s="2"/>
      <c r="R44" s="7">
        <f t="shared" si="23"/>
        <v>1.5117924549253104E-3</v>
      </c>
      <c r="S44" s="2"/>
      <c r="T44" s="6">
        <v>255.57</v>
      </c>
      <c r="U44" s="2"/>
      <c r="V44" s="7">
        <f t="shared" si="24"/>
        <v>1.1991880600152403E-2</v>
      </c>
      <c r="W44" s="2"/>
      <c r="X44" s="6">
        <f t="shared" si="25"/>
        <v>-153.45999999999998</v>
      </c>
      <c r="Y44" s="2"/>
      <c r="Z44" s="7">
        <f t="shared" si="26"/>
        <v>-0.60046171303361107</v>
      </c>
    </row>
    <row r="45" spans="1:26" s="24" customFormat="1" hidden="1" outlineLevel="2" x14ac:dyDescent="0.25">
      <c r="A45" s="29"/>
      <c r="B45" s="11" t="str">
        <f>CONCATENATE("          ", "6114", " - ", "STATE UNEMPLOYMENT INSURANCE")</f>
        <v xml:space="preserve">          6114 - STATE UNEMPLOYMENT INSURANCE</v>
      </c>
      <c r="C45" s="11"/>
      <c r="D45" s="6">
        <v>17.940000000000001</v>
      </c>
      <c r="E45" s="2"/>
      <c r="F45" s="7">
        <f t="shared" si="19"/>
        <v>7.0721720280222011E-4</v>
      </c>
      <c r="G45" s="2"/>
      <c r="H45" s="6">
        <v>16.98</v>
      </c>
      <c r="I45" s="2"/>
      <c r="J45" s="7">
        <f t="shared" si="20"/>
        <v>0.94860335195530732</v>
      </c>
      <c r="K45" s="2"/>
      <c r="L45" s="6">
        <f t="shared" si="21"/>
        <v>0.96000000000000085</v>
      </c>
      <c r="M45" s="2"/>
      <c r="N45" s="7">
        <f t="shared" si="22"/>
        <v>5.6537102473498281E-2</v>
      </c>
      <c r="O45" s="11"/>
      <c r="P45" s="6">
        <v>17.940000000000001</v>
      </c>
      <c r="Q45" s="2"/>
      <c r="R45" s="7">
        <f t="shared" si="23"/>
        <v>2.6561117071158621E-4</v>
      </c>
      <c r="S45" s="2"/>
      <c r="T45" s="6">
        <v>38.020000000000003</v>
      </c>
      <c r="U45" s="2"/>
      <c r="V45" s="7">
        <f t="shared" si="24"/>
        <v>1.7839781680862169E-3</v>
      </c>
      <c r="W45" s="2"/>
      <c r="X45" s="6">
        <f t="shared" si="25"/>
        <v>-20.080000000000002</v>
      </c>
      <c r="Y45" s="2"/>
      <c r="Z45" s="7">
        <f t="shared" si="26"/>
        <v>-0.52814308258811149</v>
      </c>
    </row>
    <row r="46" spans="1:26" s="28" customFormat="1" outlineLevel="1" collapsed="1" x14ac:dyDescent="0.25">
      <c r="A46" s="27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5956.91</v>
      </c>
      <c r="E46" s="1"/>
      <c r="F46" s="5">
        <f t="shared" ref="F46:F49" si="27">IF(D$12=0,0,D46/D$12)</f>
        <v>0.23482883096681006</v>
      </c>
      <c r="G46" s="1"/>
      <c r="H46" s="1">
        <f>SUM(OSRRefH22_1x_0)</f>
        <v>891.38</v>
      </c>
      <c r="I46" s="1"/>
      <c r="J46" s="5">
        <f t="shared" ref="J46:J49" si="28">IF(H$12=0,0,H46/H$12)</f>
        <v>49.797765363128498</v>
      </c>
      <c r="K46" s="1"/>
      <c r="L46" s="1">
        <f t="shared" ref="L46:L49" si="29">+D46-H46</f>
        <v>5065.53</v>
      </c>
      <c r="M46" s="1"/>
      <c r="N46" s="5">
        <f t="shared" ref="N46:N49" si="30">IF(H46=0,0,L46/H46)</f>
        <v>5.6827952164060216</v>
      </c>
      <c r="O46" s="14"/>
      <c r="P46" s="1">
        <f>SUM(OSRRefP22_1x_0)</f>
        <v>5956.91</v>
      </c>
      <c r="Q46" s="1"/>
      <c r="R46" s="5">
        <f t="shared" ref="R46:R49" si="31">IF(P$12=0,0,P46/P$12)</f>
        <v>8.8195197264412203E-2</v>
      </c>
      <c r="S46" s="1"/>
      <c r="T46" s="1">
        <f>SUM(OSRRefT22_1x_0)</f>
        <v>8134.35</v>
      </c>
      <c r="U46" s="1"/>
      <c r="V46" s="5">
        <f t="shared" ref="V46:V49" si="32">IF(T$12=0,0,T46/T$12)</f>
        <v>0.38168076832120246</v>
      </c>
      <c r="W46" s="1"/>
      <c r="X46" s="1">
        <f t="shared" ref="X46:X49" si="33">+P46-T46</f>
        <v>-2177.4400000000005</v>
      </c>
      <c r="Y46" s="1"/>
      <c r="Z46" s="5">
        <f t="shared" ref="Z46:Z49" si="34">IF(T46=0,0,X46/T46)</f>
        <v>-0.26768457221535835</v>
      </c>
    </row>
    <row r="47" spans="1:26" s="24" customFormat="1" hidden="1" outlineLevel="2" x14ac:dyDescent="0.25">
      <c r="A47" s="29"/>
      <c r="B47" s="11" t="str">
        <f>CONCATENATE("          ", "6005", " - ", "TEMPORARY WAGES-HOURLY")</f>
        <v xml:space="preserve">          6005 - TEMPORARY WAGES-HOURLY</v>
      </c>
      <c r="C47" s="11"/>
      <c r="D47" s="6">
        <v>134.81</v>
      </c>
      <c r="E47" s="2"/>
      <c r="F47" s="7">
        <f t="shared" si="27"/>
        <v>5.3143785456949439E-3</v>
      </c>
      <c r="G47" s="2"/>
      <c r="H47" s="6">
        <v>1004.55</v>
      </c>
      <c r="I47" s="2"/>
      <c r="J47" s="7">
        <f t="shared" si="28"/>
        <v>56.120111731843579</v>
      </c>
      <c r="K47" s="2"/>
      <c r="L47" s="6">
        <f t="shared" si="29"/>
        <v>-869.74</v>
      </c>
      <c r="M47" s="2"/>
      <c r="N47" s="7">
        <f t="shared" si="30"/>
        <v>-0.86580060723707142</v>
      </c>
      <c r="O47" s="11"/>
      <c r="P47" s="6">
        <v>134.81</v>
      </c>
      <c r="Q47" s="2"/>
      <c r="R47" s="7">
        <f t="shared" si="31"/>
        <v>1.995933217593586E-3</v>
      </c>
      <c r="S47" s="2"/>
      <c r="T47" s="6">
        <v>5361</v>
      </c>
      <c r="U47" s="2"/>
      <c r="V47" s="7">
        <f t="shared" si="32"/>
        <v>0.25154936767780661</v>
      </c>
      <c r="W47" s="2"/>
      <c r="X47" s="6">
        <f t="shared" si="33"/>
        <v>-5226.1899999999996</v>
      </c>
      <c r="Y47" s="2"/>
      <c r="Z47" s="7">
        <f t="shared" si="34"/>
        <v>-0.97485357209475831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6">
        <v>5003.49</v>
      </c>
      <c r="E48" s="2"/>
      <c r="F48" s="7">
        <f t="shared" si="27"/>
        <v>0.19724382397150947</v>
      </c>
      <c r="G48" s="2"/>
      <c r="H48" s="6">
        <v>-113.17</v>
      </c>
      <c r="I48" s="2"/>
      <c r="J48" s="7">
        <f t="shared" si="28"/>
        <v>-6.3223463687150847</v>
      </c>
      <c r="K48" s="2"/>
      <c r="L48" s="6">
        <f t="shared" si="29"/>
        <v>5116.66</v>
      </c>
      <c r="M48" s="2"/>
      <c r="N48" s="7">
        <f t="shared" si="30"/>
        <v>-45.212158699301931</v>
      </c>
      <c r="O48" s="11"/>
      <c r="P48" s="6">
        <v>5003.49</v>
      </c>
      <c r="Q48" s="2"/>
      <c r="R48" s="7">
        <f t="shared" si="31"/>
        <v>7.4079310844131233E-2</v>
      </c>
      <c r="S48" s="2"/>
      <c r="T48" s="6">
        <v>2773.35</v>
      </c>
      <c r="U48" s="2"/>
      <c r="V48" s="7">
        <f t="shared" si="32"/>
        <v>0.13013140064339582</v>
      </c>
      <c r="W48" s="2"/>
      <c r="X48" s="6">
        <f t="shared" si="33"/>
        <v>2230.14</v>
      </c>
      <c r="Y48" s="2"/>
      <c r="Z48" s="7">
        <f t="shared" si="34"/>
        <v>0.80413218670560871</v>
      </c>
    </row>
    <row r="49" spans="1:26" s="24" customFormat="1" hidden="1" outlineLevel="2" x14ac:dyDescent="0.2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6">
        <v>818.61</v>
      </c>
      <c r="E49" s="2"/>
      <c r="F49" s="7">
        <f t="shared" si="27"/>
        <v>3.2270628449605654E-2</v>
      </c>
      <c r="G49" s="2"/>
      <c r="H49" s="6"/>
      <c r="I49" s="2"/>
      <c r="J49" s="7">
        <f t="shared" si="28"/>
        <v>0</v>
      </c>
      <c r="K49" s="2"/>
      <c r="L49" s="6">
        <f t="shared" si="29"/>
        <v>818.61</v>
      </c>
      <c r="M49" s="2"/>
      <c r="N49" s="7">
        <f t="shared" si="30"/>
        <v>0</v>
      </c>
      <c r="O49" s="11"/>
      <c r="P49" s="6">
        <v>818.61</v>
      </c>
      <c r="Q49" s="2"/>
      <c r="R49" s="7">
        <f t="shared" si="31"/>
        <v>1.211995320268738E-2</v>
      </c>
      <c r="S49" s="2"/>
      <c r="T49" s="6"/>
      <c r="U49" s="2"/>
      <c r="V49" s="7">
        <f t="shared" si="32"/>
        <v>0</v>
      </c>
      <c r="W49" s="2"/>
      <c r="X49" s="6">
        <f t="shared" si="33"/>
        <v>818.61</v>
      </c>
      <c r="Y49" s="2"/>
      <c r="Z49" s="7">
        <f t="shared" si="34"/>
        <v>0</v>
      </c>
    </row>
    <row r="50" spans="1:26" s="28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15.88</v>
      </c>
      <c r="E50" s="1"/>
      <c r="F50" s="5">
        <f t="shared" ref="F50:F56" si="35">IF(D$12=0,0,D50/D$12)</f>
        <v>6.2600943035112904E-4</v>
      </c>
      <c r="G50" s="1"/>
      <c r="H50" s="1">
        <f>SUM(OSRRefH22_2x_0)</f>
        <v>124.72</v>
      </c>
      <c r="I50" s="1"/>
      <c r="J50" s="5">
        <f t="shared" ref="J50:J56" si="36">IF(H$12=0,0,H50/H$12)</f>
        <v>6.9675977653631289</v>
      </c>
      <c r="K50" s="1"/>
      <c r="L50" s="1">
        <f t="shared" ref="L50:L56" si="37">+D50-H50</f>
        <v>-108.84</v>
      </c>
      <c r="M50" s="1"/>
      <c r="N50" s="5">
        <f t="shared" ref="N50:N56" si="38">IF(H50=0,0,L50/H50)</f>
        <v>-0.87267479153303407</v>
      </c>
      <c r="O50" s="14"/>
      <c r="P50" s="1">
        <f>SUM(OSRRefP22_2x_0)</f>
        <v>168.8</v>
      </c>
      <c r="Q50" s="1"/>
      <c r="R50" s="5">
        <f t="shared" ref="R50:R56" si="39">IF(P$12=0,0,P50/P$12)</f>
        <v>2.4991731112662071E-3</v>
      </c>
      <c r="S50" s="1"/>
      <c r="T50" s="1">
        <f>SUM(OSRRefT22_2x_0)</f>
        <v>124.72</v>
      </c>
      <c r="U50" s="1"/>
      <c r="V50" s="5">
        <f t="shared" ref="V50:V56" si="40">IF(T$12=0,0,T50/T$12)</f>
        <v>5.8521240695347957E-3</v>
      </c>
      <c r="W50" s="1"/>
      <c r="X50" s="1">
        <f t="shared" ref="X50:X56" si="41">+P50-T50</f>
        <v>44.080000000000013</v>
      </c>
      <c r="Y50" s="1"/>
      <c r="Z50" s="5">
        <f t="shared" ref="Z50:Z56" si="42">IF(T50=0,0,X50/T50)</f>
        <v>0.3534316869788327</v>
      </c>
    </row>
    <row r="51" spans="1:26" s="24" customFormat="1" hidden="1" outlineLevel="2" x14ac:dyDescent="0.25">
      <c r="A51" s="29"/>
      <c r="B51" s="11" t="str">
        <f>CONCATENATE("          ", "6362", " - ", "ADVERTISING EXPENSE")</f>
        <v xml:space="preserve">          6362 - ADVERTISING EXPENSE</v>
      </c>
      <c r="C51" s="11"/>
      <c r="D51" s="6">
        <v>15.88</v>
      </c>
      <c r="E51" s="2"/>
      <c r="F51" s="7">
        <f t="shared" si="35"/>
        <v>6.2600943035112904E-4</v>
      </c>
      <c r="G51" s="2"/>
      <c r="H51" s="6">
        <v>124.72</v>
      </c>
      <c r="I51" s="2"/>
      <c r="J51" s="7">
        <f t="shared" si="36"/>
        <v>6.9675977653631289</v>
      </c>
      <c r="K51" s="2"/>
      <c r="L51" s="6">
        <f t="shared" si="37"/>
        <v>-108.84</v>
      </c>
      <c r="M51" s="2"/>
      <c r="N51" s="7">
        <f t="shared" si="38"/>
        <v>-0.87267479153303407</v>
      </c>
      <c r="O51" s="11"/>
      <c r="P51" s="6">
        <v>168.8</v>
      </c>
      <c r="Q51" s="2"/>
      <c r="R51" s="7">
        <f t="shared" si="39"/>
        <v>2.4991731112662071E-3</v>
      </c>
      <c r="S51" s="2"/>
      <c r="T51" s="6">
        <v>124.72</v>
      </c>
      <c r="U51" s="2"/>
      <c r="V51" s="7">
        <f t="shared" si="40"/>
        <v>5.8521240695347957E-3</v>
      </c>
      <c r="W51" s="2"/>
      <c r="X51" s="6">
        <f t="shared" si="41"/>
        <v>44.080000000000013</v>
      </c>
      <c r="Y51" s="2"/>
      <c r="Z51" s="7">
        <f t="shared" si="42"/>
        <v>0.3534316869788327</v>
      </c>
    </row>
    <row r="52" spans="1:26" s="28" customFormat="1" outlineLevel="1" collapsed="1" x14ac:dyDescent="0.25">
      <c r="A52" s="27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0.44</v>
      </c>
      <c r="E52" s="1"/>
      <c r="F52" s="5">
        <f t="shared" si="35"/>
        <v>1.7345349455572844E-5</v>
      </c>
      <c r="G52" s="1"/>
      <c r="H52" s="1">
        <f>SUM(OSRRefH22_3x_0)</f>
        <v>0</v>
      </c>
      <c r="I52" s="1"/>
      <c r="J52" s="5">
        <f t="shared" si="36"/>
        <v>0</v>
      </c>
      <c r="K52" s="1"/>
      <c r="L52" s="1">
        <f t="shared" si="37"/>
        <v>0.44</v>
      </c>
      <c r="M52" s="1"/>
      <c r="N52" s="5">
        <f t="shared" si="38"/>
        <v>0</v>
      </c>
      <c r="O52" s="14"/>
      <c r="P52" s="1">
        <f>SUM(OSRRefP22_3x_0)</f>
        <v>-2.89</v>
      </c>
      <c r="Q52" s="1"/>
      <c r="R52" s="5">
        <f t="shared" si="39"/>
        <v>-4.2787975660896552E-5</v>
      </c>
      <c r="S52" s="1"/>
      <c r="T52" s="1">
        <f>SUM(OSRRefT22_3x_0)</f>
        <v>1.1000000000000001</v>
      </c>
      <c r="U52" s="1"/>
      <c r="V52" s="5">
        <f t="shared" si="40"/>
        <v>5.1614307861516002E-5</v>
      </c>
      <c r="W52" s="1"/>
      <c r="X52" s="1">
        <f t="shared" si="41"/>
        <v>-3.99</v>
      </c>
      <c r="Y52" s="1"/>
      <c r="Z52" s="5">
        <f t="shared" si="42"/>
        <v>-3.627272727272727</v>
      </c>
    </row>
    <row r="53" spans="1:26" s="24" customFormat="1" hidden="1" outlineLevel="2" x14ac:dyDescent="0.25">
      <c r="A53" s="29"/>
      <c r="B53" s="11" t="str">
        <f>CONCATENATE("          ", "6272", " - ", "CASH (OVER/SHORT)")</f>
        <v xml:space="preserve">          6272 - CASH (OVER/SHORT)</v>
      </c>
      <c r="C53" s="11"/>
      <c r="D53" s="6">
        <v>0.44</v>
      </c>
      <c r="E53" s="2"/>
      <c r="F53" s="7">
        <f t="shared" si="35"/>
        <v>1.7345349455572844E-5</v>
      </c>
      <c r="G53" s="2"/>
      <c r="H53" s="6">
        <v>0</v>
      </c>
      <c r="I53" s="2"/>
      <c r="J53" s="7">
        <f t="shared" si="36"/>
        <v>0</v>
      </c>
      <c r="K53" s="2"/>
      <c r="L53" s="6">
        <f t="shared" si="37"/>
        <v>0.44</v>
      </c>
      <c r="M53" s="2"/>
      <c r="N53" s="7">
        <f t="shared" si="38"/>
        <v>0</v>
      </c>
      <c r="O53" s="11"/>
      <c r="P53" s="6">
        <v>-2.89</v>
      </c>
      <c r="Q53" s="2"/>
      <c r="R53" s="7">
        <f t="shared" si="39"/>
        <v>-4.2787975660896552E-5</v>
      </c>
      <c r="S53" s="2"/>
      <c r="T53" s="6">
        <v>1.1000000000000001</v>
      </c>
      <c r="U53" s="2"/>
      <c r="V53" s="7">
        <f t="shared" si="40"/>
        <v>5.1614307861516002E-5</v>
      </c>
      <c r="W53" s="2"/>
      <c r="X53" s="6">
        <f t="shared" si="41"/>
        <v>-3.99</v>
      </c>
      <c r="Y53" s="2"/>
      <c r="Z53" s="7">
        <f t="shared" si="42"/>
        <v>-3.627272727272727</v>
      </c>
    </row>
    <row r="54" spans="1:26" s="28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-43.54</v>
      </c>
      <c r="E54" s="1"/>
      <c r="F54" s="5">
        <f t="shared" si="35"/>
        <v>-1.7164011711264583E-3</v>
      </c>
      <c r="G54" s="1"/>
      <c r="H54" s="1">
        <f>SUM(OSRRefH22_4x_0)</f>
        <v>-418.85</v>
      </c>
      <c r="I54" s="1"/>
      <c r="J54" s="5">
        <f t="shared" si="36"/>
        <v>-23.399441340782126</v>
      </c>
      <c r="K54" s="1"/>
      <c r="L54" s="1">
        <f t="shared" si="37"/>
        <v>375.31</v>
      </c>
      <c r="M54" s="1"/>
      <c r="N54" s="5">
        <f t="shared" si="38"/>
        <v>-0.89604870478691656</v>
      </c>
      <c r="O54" s="14"/>
      <c r="P54" s="1">
        <f>SUM(OSRRefP22_4x_0)</f>
        <v>-43.54</v>
      </c>
      <c r="Q54" s="1"/>
      <c r="R54" s="5">
        <f t="shared" si="39"/>
        <v>-6.4463268521641379E-4</v>
      </c>
      <c r="S54" s="1"/>
      <c r="T54" s="1">
        <f>SUM(OSRRefT22_4x_0)</f>
        <v>-418.85</v>
      </c>
      <c r="U54" s="1"/>
      <c r="V54" s="5">
        <f t="shared" si="40"/>
        <v>-1.9653320770723615E-2</v>
      </c>
      <c r="W54" s="1"/>
      <c r="X54" s="1">
        <f t="shared" si="41"/>
        <v>375.31</v>
      </c>
      <c r="Y54" s="1"/>
      <c r="Z54" s="5">
        <f t="shared" si="42"/>
        <v>-0.89604870478691656</v>
      </c>
    </row>
    <row r="55" spans="1:26" s="24" customFormat="1" hidden="1" outlineLevel="2" x14ac:dyDescent="0.25">
      <c r="A55" s="29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35"/>
        <v>0</v>
      </c>
      <c r="G55" s="2"/>
      <c r="H55" s="6">
        <v>0</v>
      </c>
      <c r="I55" s="2"/>
      <c r="J55" s="7">
        <f t="shared" si="36"/>
        <v>0</v>
      </c>
      <c r="K55" s="2"/>
      <c r="L55" s="6">
        <f t="shared" si="37"/>
        <v>0</v>
      </c>
      <c r="M55" s="2"/>
      <c r="N55" s="7">
        <f t="shared" si="38"/>
        <v>0</v>
      </c>
      <c r="O55" s="11"/>
      <c r="P55" s="6"/>
      <c r="Q55" s="2"/>
      <c r="R55" s="7">
        <f t="shared" si="39"/>
        <v>0</v>
      </c>
      <c r="S55" s="2"/>
      <c r="T55" s="6">
        <v>0</v>
      </c>
      <c r="U55" s="2"/>
      <c r="V55" s="7">
        <f t="shared" si="40"/>
        <v>0</v>
      </c>
      <c r="W55" s="2"/>
      <c r="X55" s="6">
        <f t="shared" si="41"/>
        <v>0</v>
      </c>
      <c r="Y55" s="2"/>
      <c r="Z55" s="7">
        <f t="shared" si="42"/>
        <v>0</v>
      </c>
    </row>
    <row r="56" spans="1:26" s="24" customFormat="1" hidden="1" outlineLevel="2" x14ac:dyDescent="0.25">
      <c r="A56" s="29"/>
      <c r="B56" s="11" t="str">
        <f>CONCATENATE("          ", "9175", " - ", "EARNED DISCOUNTS")</f>
        <v xml:space="preserve">          9175 - EARNED DISCOUNTS</v>
      </c>
      <c r="C56" s="11"/>
      <c r="D56" s="6">
        <v>-43.54</v>
      </c>
      <c r="E56" s="2"/>
      <c r="F56" s="7">
        <f t="shared" si="35"/>
        <v>-1.7164011711264583E-3</v>
      </c>
      <c r="G56" s="2"/>
      <c r="H56" s="6">
        <v>-418.85</v>
      </c>
      <c r="I56" s="2"/>
      <c r="J56" s="7">
        <f t="shared" si="36"/>
        <v>-23.399441340782126</v>
      </c>
      <c r="K56" s="2"/>
      <c r="L56" s="6">
        <f t="shared" si="37"/>
        <v>375.31</v>
      </c>
      <c r="M56" s="2"/>
      <c r="N56" s="7">
        <f t="shared" si="38"/>
        <v>-0.89604870478691656</v>
      </c>
      <c r="O56" s="11"/>
      <c r="P56" s="6">
        <v>-43.54</v>
      </c>
      <c r="Q56" s="2"/>
      <c r="R56" s="7">
        <f t="shared" si="39"/>
        <v>-6.4463268521641379E-4</v>
      </c>
      <c r="S56" s="2"/>
      <c r="T56" s="6">
        <v>-418.85</v>
      </c>
      <c r="U56" s="2"/>
      <c r="V56" s="7">
        <f t="shared" si="40"/>
        <v>-1.9653320770723615E-2</v>
      </c>
      <c r="W56" s="2"/>
      <c r="X56" s="6">
        <f t="shared" si="41"/>
        <v>375.31</v>
      </c>
      <c r="Y56" s="2"/>
      <c r="Z56" s="7">
        <f t="shared" si="42"/>
        <v>-0.89604870478691656</v>
      </c>
    </row>
    <row r="57" spans="1:26" s="28" customFormat="1" outlineLevel="1" collapsed="1" x14ac:dyDescent="0.2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SUM(OSRRefD22_5x_0)</f>
        <v>0</v>
      </c>
      <c r="E57" s="1"/>
      <c r="F57" s="5">
        <f t="shared" ref="F57:F65" si="43">IF(D$12=0,0,D57/D$12)</f>
        <v>0</v>
      </c>
      <c r="G57" s="1"/>
      <c r="H57" s="1">
        <f>SUM(OSRRefH22_5x_0)</f>
        <v>0</v>
      </c>
      <c r="I57" s="1"/>
      <c r="J57" s="5">
        <f t="shared" ref="J57:J65" si="44">IF(H$12=0,0,H57/H$12)</f>
        <v>0</v>
      </c>
      <c r="K57" s="1"/>
      <c r="L57" s="1">
        <f t="shared" ref="L57:L65" si="45">+D57-H57</f>
        <v>0</v>
      </c>
      <c r="M57" s="1"/>
      <c r="N57" s="5">
        <f t="shared" ref="N57:N65" si="46">IF(H57=0,0,L57/H57)</f>
        <v>0</v>
      </c>
      <c r="O57" s="14"/>
      <c r="P57" s="1">
        <f>SUM(OSRRefP22_5x_0)</f>
        <v>54.5</v>
      </c>
      <c r="Q57" s="1"/>
      <c r="R57" s="5">
        <f t="shared" ref="R57:R65" si="47">IF(P$12=0,0,P57/P$12)</f>
        <v>8.0690127111379304E-4</v>
      </c>
      <c r="S57" s="1"/>
      <c r="T57" s="1">
        <f>SUM(OSRRefT22_5x_0)</f>
        <v>0</v>
      </c>
      <c r="U57" s="1"/>
      <c r="V57" s="5">
        <f t="shared" ref="V57:V65" si="48">IF(T$12=0,0,T57/T$12)</f>
        <v>0</v>
      </c>
      <c r="W57" s="1"/>
      <c r="X57" s="1">
        <f t="shared" ref="X57:X65" si="49">+P57-T57</f>
        <v>54.5</v>
      </c>
      <c r="Y57" s="1"/>
      <c r="Z57" s="5">
        <f t="shared" ref="Z57:Z65" si="50">IF(T57=0,0,X57/T57)</f>
        <v>0</v>
      </c>
    </row>
    <row r="58" spans="1:26" s="24" customFormat="1" hidden="1" outlineLevel="2" x14ac:dyDescent="0.25">
      <c r="A58" s="29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43"/>
        <v>0</v>
      </c>
      <c r="G58" s="2"/>
      <c r="H58" s="6"/>
      <c r="I58" s="2"/>
      <c r="J58" s="7">
        <f t="shared" si="44"/>
        <v>0</v>
      </c>
      <c r="K58" s="2"/>
      <c r="L58" s="6">
        <f t="shared" si="45"/>
        <v>0</v>
      </c>
      <c r="M58" s="2"/>
      <c r="N58" s="7">
        <f t="shared" si="46"/>
        <v>0</v>
      </c>
      <c r="O58" s="11"/>
      <c r="P58" s="6">
        <v>54.5</v>
      </c>
      <c r="Q58" s="2"/>
      <c r="R58" s="7">
        <f t="shared" si="47"/>
        <v>8.0690127111379304E-4</v>
      </c>
      <c r="S58" s="2"/>
      <c r="T58" s="6"/>
      <c r="U58" s="2"/>
      <c r="V58" s="7">
        <f t="shared" si="48"/>
        <v>0</v>
      </c>
      <c r="W58" s="2"/>
      <c r="X58" s="6">
        <f t="shared" si="49"/>
        <v>54.5</v>
      </c>
      <c r="Y58" s="2"/>
      <c r="Z58" s="7">
        <f t="shared" si="50"/>
        <v>0</v>
      </c>
    </row>
    <row r="59" spans="1:26" s="28" customFormat="1" outlineLevel="1" collapsed="1" x14ac:dyDescent="0.25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SUM(OSRRefD22_6x_0)</f>
        <v>0</v>
      </c>
      <c r="E59" s="1"/>
      <c r="F59" s="5">
        <f t="shared" si="43"/>
        <v>0</v>
      </c>
      <c r="G59" s="1"/>
      <c r="H59" s="1">
        <f>SUM(OSRRefH22_6x_0)</f>
        <v>0</v>
      </c>
      <c r="I59" s="1"/>
      <c r="J59" s="5">
        <f t="shared" si="44"/>
        <v>0</v>
      </c>
      <c r="K59" s="1"/>
      <c r="L59" s="1">
        <f t="shared" si="45"/>
        <v>0</v>
      </c>
      <c r="M59" s="1"/>
      <c r="N59" s="5">
        <f t="shared" si="46"/>
        <v>0</v>
      </c>
      <c r="O59" s="14"/>
      <c r="P59" s="1">
        <f>SUM(OSRRefP22_6x_0)</f>
        <v>228.04</v>
      </c>
      <c r="Q59" s="1"/>
      <c r="R59" s="5">
        <f t="shared" si="47"/>
        <v>3.3762525846750342E-3</v>
      </c>
      <c r="S59" s="1"/>
      <c r="T59" s="1">
        <f>SUM(OSRRefT22_6x_0)</f>
        <v>719.55</v>
      </c>
      <c r="U59" s="1"/>
      <c r="V59" s="5">
        <f t="shared" si="48"/>
        <v>3.3762795656139849E-2</v>
      </c>
      <c r="W59" s="1"/>
      <c r="X59" s="1">
        <f t="shared" si="49"/>
        <v>-491.51</v>
      </c>
      <c r="Y59" s="1"/>
      <c r="Z59" s="5">
        <f t="shared" si="50"/>
        <v>-0.68307970259189776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43"/>
        <v>0</v>
      </c>
      <c r="G60" s="2"/>
      <c r="H60" s="6"/>
      <c r="I60" s="2"/>
      <c r="J60" s="7">
        <f t="shared" si="44"/>
        <v>0</v>
      </c>
      <c r="K60" s="2"/>
      <c r="L60" s="6">
        <f t="shared" si="45"/>
        <v>0</v>
      </c>
      <c r="M60" s="2"/>
      <c r="N60" s="7">
        <f t="shared" si="46"/>
        <v>0</v>
      </c>
      <c r="O60" s="11"/>
      <c r="P60" s="6">
        <v>228.04</v>
      </c>
      <c r="Q60" s="2"/>
      <c r="R60" s="7">
        <f t="shared" si="47"/>
        <v>3.3762525846750342E-3</v>
      </c>
      <c r="S60" s="2"/>
      <c r="T60" s="6">
        <v>719.55</v>
      </c>
      <c r="U60" s="2"/>
      <c r="V60" s="7">
        <f t="shared" si="48"/>
        <v>3.3762795656139849E-2</v>
      </c>
      <c r="W60" s="2"/>
      <c r="X60" s="6">
        <f t="shared" si="49"/>
        <v>-491.51</v>
      </c>
      <c r="Y60" s="2"/>
      <c r="Z60" s="7">
        <f t="shared" si="50"/>
        <v>-0.68307970259189776</v>
      </c>
    </row>
    <row r="61" spans="1:26" s="28" customFormat="1" outlineLevel="1" collapsed="1" x14ac:dyDescent="0.25">
      <c r="A61" s="27"/>
      <c r="B61" s="14" t="str">
        <f>CONCATENATE("     ","Inventory Adjustment                              ")</f>
        <v xml:space="preserve">     Inventory Adjustment                              </v>
      </c>
      <c r="C61" s="14"/>
      <c r="D61" s="1">
        <f>SUM(OSRRefD22_7x_0)</f>
        <v>650</v>
      </c>
      <c r="E61" s="1"/>
      <c r="F61" s="5">
        <f t="shared" si="43"/>
        <v>2.562381169573261E-2</v>
      </c>
      <c r="G61" s="1"/>
      <c r="H61" s="1">
        <f>SUM(OSRRefH22_7x_0)</f>
        <v>0</v>
      </c>
      <c r="I61" s="1"/>
      <c r="J61" s="5">
        <f t="shared" si="44"/>
        <v>0</v>
      </c>
      <c r="K61" s="1"/>
      <c r="L61" s="1">
        <f t="shared" si="45"/>
        <v>650</v>
      </c>
      <c r="M61" s="1"/>
      <c r="N61" s="5">
        <f t="shared" si="46"/>
        <v>0</v>
      </c>
      <c r="O61" s="14"/>
      <c r="P61" s="1">
        <f>SUM(OSRRefP22_7x_0)</f>
        <v>2600</v>
      </c>
      <c r="Q61" s="1"/>
      <c r="R61" s="5">
        <f t="shared" si="47"/>
        <v>3.8494372566896549E-2</v>
      </c>
      <c r="S61" s="1"/>
      <c r="T61" s="1">
        <f>SUM(OSRRefT22_7x_0)</f>
        <v>0</v>
      </c>
      <c r="U61" s="1"/>
      <c r="V61" s="5">
        <f t="shared" si="48"/>
        <v>0</v>
      </c>
      <c r="W61" s="1"/>
      <c r="X61" s="1">
        <f t="shared" si="49"/>
        <v>2600</v>
      </c>
      <c r="Y61" s="1"/>
      <c r="Z61" s="5">
        <f t="shared" si="50"/>
        <v>0</v>
      </c>
    </row>
    <row r="62" spans="1:26" s="24" customFormat="1" hidden="1" outlineLevel="2" x14ac:dyDescent="0.25">
      <c r="A62" s="29"/>
      <c r="B62" s="11" t="str">
        <f>CONCATENATE("          ", "6408", " - ", "INVENTORY ADJUSTMENT")</f>
        <v xml:space="preserve">          6408 - INVENTORY ADJUSTMENT</v>
      </c>
      <c r="C62" s="11"/>
      <c r="D62" s="6">
        <v>650</v>
      </c>
      <c r="E62" s="2"/>
      <c r="F62" s="7">
        <f t="shared" si="43"/>
        <v>2.562381169573261E-2</v>
      </c>
      <c r="G62" s="2"/>
      <c r="H62" s="6"/>
      <c r="I62" s="2"/>
      <c r="J62" s="7">
        <f t="shared" si="44"/>
        <v>0</v>
      </c>
      <c r="K62" s="2"/>
      <c r="L62" s="6">
        <f t="shared" si="45"/>
        <v>650</v>
      </c>
      <c r="M62" s="2"/>
      <c r="N62" s="7">
        <f t="shared" si="46"/>
        <v>0</v>
      </c>
      <c r="O62" s="11"/>
      <c r="P62" s="6">
        <v>2600</v>
      </c>
      <c r="Q62" s="2"/>
      <c r="R62" s="7">
        <f t="shared" si="47"/>
        <v>3.8494372566896549E-2</v>
      </c>
      <c r="S62" s="2"/>
      <c r="T62" s="6"/>
      <c r="U62" s="2"/>
      <c r="V62" s="7">
        <f t="shared" si="48"/>
        <v>0</v>
      </c>
      <c r="W62" s="2"/>
      <c r="X62" s="6">
        <f t="shared" si="49"/>
        <v>2600</v>
      </c>
      <c r="Y62" s="2"/>
      <c r="Z62" s="7">
        <f t="shared" si="50"/>
        <v>0</v>
      </c>
    </row>
    <row r="63" spans="1:26" s="28" customFormat="1" outlineLevel="1" collapsed="1" x14ac:dyDescent="0.25">
      <c r="A63" s="27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SUM(OSRRefD22_8x_0)</f>
        <v>9.5399999999999991</v>
      </c>
      <c r="E63" s="1"/>
      <c r="F63" s="5">
        <f t="shared" si="43"/>
        <v>3.7607871319582939E-4</v>
      </c>
      <c r="G63" s="1"/>
      <c r="H63" s="1">
        <f>SUM(OSRRefH22_8x_0)</f>
        <v>0</v>
      </c>
      <c r="I63" s="1"/>
      <c r="J63" s="5">
        <f t="shared" si="44"/>
        <v>0</v>
      </c>
      <c r="K63" s="1"/>
      <c r="L63" s="1">
        <f t="shared" si="45"/>
        <v>9.5399999999999991</v>
      </c>
      <c r="M63" s="1"/>
      <c r="N63" s="5">
        <f t="shared" si="46"/>
        <v>0</v>
      </c>
      <c r="O63" s="14"/>
      <c r="P63" s="1">
        <f>SUM(OSRRefP22_8x_0)</f>
        <v>244.32999999999998</v>
      </c>
      <c r="Q63" s="1"/>
      <c r="R63" s="5">
        <f t="shared" si="47"/>
        <v>3.6174346343345516E-3</v>
      </c>
      <c r="S63" s="1"/>
      <c r="T63" s="1">
        <f>SUM(OSRRefT22_8x_0)</f>
        <v>139.71</v>
      </c>
      <c r="U63" s="1"/>
      <c r="V63" s="5">
        <f t="shared" si="48"/>
        <v>6.555486319393092E-3</v>
      </c>
      <c r="W63" s="1"/>
      <c r="X63" s="1">
        <f t="shared" si="49"/>
        <v>104.61999999999998</v>
      </c>
      <c r="Y63" s="1"/>
      <c r="Z63" s="5">
        <f t="shared" si="50"/>
        <v>0.74883687638680096</v>
      </c>
    </row>
    <row r="64" spans="1:26" s="24" customFormat="1" hidden="1" outlineLevel="2" x14ac:dyDescent="0.25">
      <c r="A64" s="29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43"/>
        <v>0</v>
      </c>
      <c r="G64" s="2"/>
      <c r="H64" s="6"/>
      <c r="I64" s="2"/>
      <c r="J64" s="7">
        <f t="shared" si="44"/>
        <v>0</v>
      </c>
      <c r="K64" s="2"/>
      <c r="L64" s="6">
        <f t="shared" si="45"/>
        <v>0</v>
      </c>
      <c r="M64" s="2"/>
      <c r="N64" s="7">
        <f t="shared" si="46"/>
        <v>0</v>
      </c>
      <c r="O64" s="11"/>
      <c r="P64" s="6">
        <v>61.11</v>
      </c>
      <c r="Q64" s="2"/>
      <c r="R64" s="7">
        <f t="shared" si="47"/>
        <v>9.0476581060117242E-4</v>
      </c>
      <c r="S64" s="2"/>
      <c r="T64" s="6">
        <v>139.71</v>
      </c>
      <c r="U64" s="2"/>
      <c r="V64" s="7">
        <f t="shared" si="48"/>
        <v>6.555486319393092E-3</v>
      </c>
      <c r="W64" s="2"/>
      <c r="X64" s="6">
        <f t="shared" si="49"/>
        <v>-78.600000000000009</v>
      </c>
      <c r="Y64" s="2"/>
      <c r="Z64" s="7">
        <f t="shared" si="50"/>
        <v>-0.56259394459952761</v>
      </c>
    </row>
    <row r="65" spans="1:26" s="24" customFormat="1" hidden="1" outlineLevel="2" x14ac:dyDescent="0.25">
      <c r="A65" s="29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9.5399999999999991</v>
      </c>
      <c r="E65" s="2"/>
      <c r="F65" s="7">
        <f t="shared" si="43"/>
        <v>3.7607871319582939E-4</v>
      </c>
      <c r="G65" s="2"/>
      <c r="H65" s="6"/>
      <c r="I65" s="2"/>
      <c r="J65" s="7">
        <f t="shared" si="44"/>
        <v>0</v>
      </c>
      <c r="K65" s="2"/>
      <c r="L65" s="6">
        <f t="shared" si="45"/>
        <v>9.5399999999999991</v>
      </c>
      <c r="M65" s="2"/>
      <c r="N65" s="7">
        <f t="shared" si="46"/>
        <v>0</v>
      </c>
      <c r="O65" s="11"/>
      <c r="P65" s="6">
        <v>183.22</v>
      </c>
      <c r="Q65" s="2"/>
      <c r="R65" s="7">
        <f t="shared" si="47"/>
        <v>2.7126688237333794E-3</v>
      </c>
      <c r="S65" s="2"/>
      <c r="T65" s="6"/>
      <c r="U65" s="2"/>
      <c r="V65" s="7">
        <f t="shared" si="48"/>
        <v>0</v>
      </c>
      <c r="W65" s="2"/>
      <c r="X65" s="6">
        <f t="shared" si="49"/>
        <v>183.22</v>
      </c>
      <c r="Y65" s="2"/>
      <c r="Z65" s="7">
        <f t="shared" si="50"/>
        <v>0</v>
      </c>
    </row>
    <row r="66" spans="1:26" s="28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SUM(OSRRefD22_9x_0)</f>
        <v>426.05</v>
      </c>
      <c r="E66" s="1"/>
      <c r="F66" s="5">
        <f t="shared" ref="F66:F68" si="51">IF(D$12=0,0,D66/D$12)</f>
        <v>1.679542303533366E-2</v>
      </c>
      <c r="G66" s="1"/>
      <c r="H66" s="1">
        <f>SUM(OSRRefH22_9x_0)</f>
        <v>0</v>
      </c>
      <c r="I66" s="1"/>
      <c r="J66" s="5">
        <f t="shared" ref="J66:J68" si="52">IF(H$12=0,0,H66/H$12)</f>
        <v>0</v>
      </c>
      <c r="K66" s="1"/>
      <c r="L66" s="1">
        <f t="shared" ref="L66:L68" si="53">+D66-H66</f>
        <v>426.05</v>
      </c>
      <c r="M66" s="1"/>
      <c r="N66" s="5">
        <f t="shared" ref="N66:N68" si="54">IF(H66=0,0,L66/H66)</f>
        <v>0</v>
      </c>
      <c r="O66" s="14"/>
      <c r="P66" s="1">
        <f>SUM(OSRRefP22_9x_0)</f>
        <v>3039.99</v>
      </c>
      <c r="Q66" s="1"/>
      <c r="R66" s="5">
        <f t="shared" ref="R66:R68" si="55">IF(P$12=0,0,P66/P$12)</f>
        <v>4.5008656792169165E-2</v>
      </c>
      <c r="S66" s="1"/>
      <c r="T66" s="1">
        <f>SUM(OSRRefT22_9x_0)</f>
        <v>-25.5</v>
      </c>
      <c r="U66" s="1"/>
      <c r="V66" s="5">
        <f t="shared" ref="V66:V68" si="56">IF(T$12=0,0,T66/T$12)</f>
        <v>-1.1965135004260528E-3</v>
      </c>
      <c r="W66" s="1"/>
      <c r="X66" s="1">
        <f t="shared" ref="X66:X68" si="57">+P66-T66</f>
        <v>3065.49</v>
      </c>
      <c r="Y66" s="1"/>
      <c r="Z66" s="5">
        <f t="shared" ref="Z66:Z68" si="58">IF(T66=0,0,X66/T66)</f>
        <v>-120.21529411764705</v>
      </c>
    </row>
    <row r="67" spans="1:26" s="24" customFormat="1" hidden="1" outlineLevel="2" x14ac:dyDescent="0.2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220.3</v>
      </c>
      <c r="E67" s="2"/>
      <c r="F67" s="7">
        <f t="shared" si="51"/>
        <v>8.6845011024152229E-3</v>
      </c>
      <c r="G67" s="2"/>
      <c r="H67" s="6"/>
      <c r="I67" s="2"/>
      <c r="J67" s="7">
        <f t="shared" si="52"/>
        <v>0</v>
      </c>
      <c r="K67" s="2"/>
      <c r="L67" s="6">
        <f t="shared" si="53"/>
        <v>220.3</v>
      </c>
      <c r="M67" s="2"/>
      <c r="N67" s="7">
        <f t="shared" si="54"/>
        <v>0</v>
      </c>
      <c r="O67" s="11"/>
      <c r="P67" s="6">
        <v>491.6</v>
      </c>
      <c r="Q67" s="2"/>
      <c r="R67" s="7">
        <f t="shared" si="55"/>
        <v>7.2783975207255172E-3</v>
      </c>
      <c r="S67" s="2"/>
      <c r="T67" s="6">
        <v>132</v>
      </c>
      <c r="U67" s="2"/>
      <c r="V67" s="7">
        <f t="shared" si="56"/>
        <v>6.1937169433819205E-3</v>
      </c>
      <c r="W67" s="2"/>
      <c r="X67" s="6">
        <f t="shared" si="57"/>
        <v>359.6</v>
      </c>
      <c r="Y67" s="2"/>
      <c r="Z67" s="7">
        <f t="shared" si="58"/>
        <v>2.7242424242424246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6">
        <v>205.75</v>
      </c>
      <c r="E68" s="2"/>
      <c r="F68" s="7">
        <f t="shared" si="51"/>
        <v>8.1109219329184388E-3</v>
      </c>
      <c r="G68" s="2"/>
      <c r="H68" s="6"/>
      <c r="I68" s="2"/>
      <c r="J68" s="7">
        <f t="shared" si="52"/>
        <v>0</v>
      </c>
      <c r="K68" s="2"/>
      <c r="L68" s="6">
        <f t="shared" si="53"/>
        <v>205.75</v>
      </c>
      <c r="M68" s="2"/>
      <c r="N68" s="7">
        <f t="shared" si="54"/>
        <v>0</v>
      </c>
      <c r="O68" s="11"/>
      <c r="P68" s="6">
        <v>2548.39</v>
      </c>
      <c r="Q68" s="2"/>
      <c r="R68" s="7">
        <f t="shared" si="55"/>
        <v>3.7730259271443654E-2</v>
      </c>
      <c r="S68" s="2"/>
      <c r="T68" s="6">
        <v>-157.5</v>
      </c>
      <c r="U68" s="2"/>
      <c r="V68" s="7">
        <f t="shared" si="56"/>
        <v>-7.3902304438079732E-3</v>
      </c>
      <c r="W68" s="2"/>
      <c r="X68" s="6">
        <f t="shared" si="57"/>
        <v>2705.89</v>
      </c>
      <c r="Y68" s="2"/>
      <c r="Z68" s="7">
        <f t="shared" si="58"/>
        <v>-17.180253968253968</v>
      </c>
    </row>
    <row r="69" spans="1:26" s="28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SUM(OSRRefD22_10x_0)</f>
        <v>1419.95</v>
      </c>
      <c r="E69" s="1"/>
      <c r="F69" s="5">
        <f t="shared" ref="F69:F73" si="59">IF(D$12=0,0,D69/D$12)</f>
        <v>5.5976202180546955E-2</v>
      </c>
      <c r="G69" s="1"/>
      <c r="H69" s="1">
        <f>SUM(OSRRefH22_10x_0)</f>
        <v>544.6</v>
      </c>
      <c r="I69" s="1"/>
      <c r="J69" s="5">
        <f t="shared" ref="J69:J73" si="60">IF(H$12=0,0,H69/H$12)</f>
        <v>30.424581005586596</v>
      </c>
      <c r="K69" s="1"/>
      <c r="L69" s="1">
        <f t="shared" ref="L69:L73" si="61">+D69-H69</f>
        <v>875.35</v>
      </c>
      <c r="M69" s="1"/>
      <c r="N69" s="5">
        <f t="shared" ref="N69:N73" si="62">IF(H69=0,0,L69/H69)</f>
        <v>1.6073264781491001</v>
      </c>
      <c r="O69" s="14"/>
      <c r="P69" s="1">
        <f>SUM(OSRRefP22_10x_0)</f>
        <v>1668.3899999999999</v>
      </c>
      <c r="Q69" s="1"/>
      <c r="R69" s="5">
        <f t="shared" ref="R69:R73" si="63">IF(P$12=0,0,P69/P$12)</f>
        <v>2.4701394710340205E-2</v>
      </c>
      <c r="S69" s="1"/>
      <c r="T69" s="1">
        <f>SUM(OSRRefT22_10x_0)</f>
        <v>1892.27</v>
      </c>
      <c r="U69" s="1"/>
      <c r="V69" s="5">
        <f t="shared" ref="V69:V73" si="64">IF(T$12=0,0,T69/T$12)</f>
        <v>8.8789278488282622E-2</v>
      </c>
      <c r="W69" s="1"/>
      <c r="X69" s="1">
        <f t="shared" ref="X69:X73" si="65">+P69-T69</f>
        <v>-223.88000000000011</v>
      </c>
      <c r="Y69" s="1"/>
      <c r="Z69" s="5">
        <f t="shared" ref="Z69:Z73" si="66">IF(T69=0,0,X69/T69)</f>
        <v>-0.11831292574526897</v>
      </c>
    </row>
    <row r="70" spans="1:26" s="24" customFormat="1" hidden="1" outlineLevel="2" x14ac:dyDescent="0.25">
      <c r="A70" s="29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1347.52</v>
      </c>
      <c r="E70" s="2"/>
      <c r="F70" s="7">
        <f t="shared" si="59"/>
        <v>5.3120921132667087E-2</v>
      </c>
      <c r="G70" s="2"/>
      <c r="H70" s="6"/>
      <c r="I70" s="2"/>
      <c r="J70" s="7">
        <f t="shared" si="60"/>
        <v>0</v>
      </c>
      <c r="K70" s="2"/>
      <c r="L70" s="6">
        <f t="shared" si="61"/>
        <v>1347.52</v>
      </c>
      <c r="M70" s="2"/>
      <c r="N70" s="7">
        <f t="shared" si="62"/>
        <v>0</v>
      </c>
      <c r="O70" s="11"/>
      <c r="P70" s="6">
        <v>1347.52</v>
      </c>
      <c r="Q70" s="2"/>
      <c r="R70" s="7">
        <f t="shared" si="63"/>
        <v>1.9950744969747861E-2</v>
      </c>
      <c r="S70" s="2"/>
      <c r="T70" s="6"/>
      <c r="U70" s="2"/>
      <c r="V70" s="7">
        <f t="shared" si="64"/>
        <v>0</v>
      </c>
      <c r="W70" s="2"/>
      <c r="X70" s="6">
        <f t="shared" si="65"/>
        <v>1347.52</v>
      </c>
      <c r="Y70" s="2"/>
      <c r="Z70" s="7">
        <f t="shared" si="66"/>
        <v>0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59"/>
        <v>0</v>
      </c>
      <c r="G71" s="2"/>
      <c r="H71" s="6"/>
      <c r="I71" s="2"/>
      <c r="J71" s="7">
        <f t="shared" si="60"/>
        <v>0</v>
      </c>
      <c r="K71" s="2"/>
      <c r="L71" s="6">
        <f t="shared" si="61"/>
        <v>0</v>
      </c>
      <c r="M71" s="2"/>
      <c r="N71" s="7">
        <f t="shared" si="62"/>
        <v>0</v>
      </c>
      <c r="O71" s="11"/>
      <c r="P71" s="6"/>
      <c r="Q71" s="2"/>
      <c r="R71" s="7">
        <f t="shared" si="63"/>
        <v>0</v>
      </c>
      <c r="S71" s="2"/>
      <c r="T71" s="6">
        <v>444.3</v>
      </c>
      <c r="U71" s="2"/>
      <c r="V71" s="7">
        <f t="shared" si="64"/>
        <v>2.0847488166246871E-2</v>
      </c>
      <c r="W71" s="2"/>
      <c r="X71" s="6">
        <f t="shared" si="65"/>
        <v>-444.3</v>
      </c>
      <c r="Y71" s="2"/>
      <c r="Z71" s="7">
        <f t="shared" si="66"/>
        <v>-1</v>
      </c>
    </row>
    <row r="72" spans="1:26" s="24" customFormat="1" hidden="1" outlineLevel="2" x14ac:dyDescent="0.25">
      <c r="A72" s="29"/>
      <c r="B72" s="11" t="str">
        <f>CONCATENATE("          ", "6241", " - ", "OFFICE EXPENSE")</f>
        <v xml:space="preserve">          6241 - OFFICE EXPENSE</v>
      </c>
      <c r="C72" s="11"/>
      <c r="D72" s="6"/>
      <c r="E72" s="2"/>
      <c r="F72" s="7">
        <f t="shared" si="59"/>
        <v>0</v>
      </c>
      <c r="G72" s="2"/>
      <c r="H72" s="6"/>
      <c r="I72" s="2"/>
      <c r="J72" s="7">
        <f t="shared" si="60"/>
        <v>0</v>
      </c>
      <c r="K72" s="2"/>
      <c r="L72" s="6">
        <f t="shared" si="61"/>
        <v>0</v>
      </c>
      <c r="M72" s="2"/>
      <c r="N72" s="7">
        <f t="shared" si="62"/>
        <v>0</v>
      </c>
      <c r="O72" s="11"/>
      <c r="P72" s="6"/>
      <c r="Q72" s="2"/>
      <c r="R72" s="7">
        <f t="shared" si="63"/>
        <v>0</v>
      </c>
      <c r="S72" s="2"/>
      <c r="T72" s="6">
        <v>225.24</v>
      </c>
      <c r="U72" s="2"/>
      <c r="V72" s="7">
        <f t="shared" si="64"/>
        <v>1.056873336611624E-2</v>
      </c>
      <c r="W72" s="2"/>
      <c r="X72" s="6">
        <f t="shared" si="65"/>
        <v>-225.24</v>
      </c>
      <c r="Y72" s="2"/>
      <c r="Z72" s="7">
        <f t="shared" si="66"/>
        <v>-1</v>
      </c>
    </row>
    <row r="73" spans="1:26" s="24" customFormat="1" hidden="1" outlineLevel="2" x14ac:dyDescent="0.25">
      <c r="A73" s="29"/>
      <c r="B73" s="11" t="str">
        <f>CONCATENATE("          ", "6247", " - ", "STORE SUPPLIES")</f>
        <v xml:space="preserve">          6247 - STORE SUPPLIES</v>
      </c>
      <c r="C73" s="11"/>
      <c r="D73" s="6">
        <v>72.430000000000007</v>
      </c>
      <c r="E73" s="2"/>
      <c r="F73" s="7">
        <f t="shared" si="59"/>
        <v>2.8552810478798666E-3</v>
      </c>
      <c r="G73" s="2"/>
      <c r="H73" s="6">
        <v>544.6</v>
      </c>
      <c r="I73" s="2"/>
      <c r="J73" s="7">
        <f t="shared" si="60"/>
        <v>30.424581005586596</v>
      </c>
      <c r="K73" s="2"/>
      <c r="L73" s="6">
        <f t="shared" si="61"/>
        <v>-472.17</v>
      </c>
      <c r="M73" s="2"/>
      <c r="N73" s="7">
        <f t="shared" si="62"/>
        <v>-0.86700330517811242</v>
      </c>
      <c r="O73" s="11"/>
      <c r="P73" s="6">
        <v>320.87</v>
      </c>
      <c r="Q73" s="2"/>
      <c r="R73" s="7">
        <f t="shared" si="63"/>
        <v>4.7506497405923444E-3</v>
      </c>
      <c r="S73" s="2"/>
      <c r="T73" s="6">
        <v>1222.73</v>
      </c>
      <c r="U73" s="2"/>
      <c r="V73" s="7">
        <f t="shared" si="64"/>
        <v>5.7373056955919509E-2</v>
      </c>
      <c r="W73" s="2"/>
      <c r="X73" s="6">
        <f t="shared" si="65"/>
        <v>-901.86</v>
      </c>
      <c r="Y73" s="2"/>
      <c r="Z73" s="7">
        <f t="shared" si="66"/>
        <v>-0.73757902398730713</v>
      </c>
    </row>
    <row r="74" spans="1:26" s="28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SUM(OSRRefD22_11x_0)</f>
        <v>53</v>
      </c>
      <c r="E74" s="1"/>
      <c r="F74" s="5">
        <f t="shared" ref="F74:F77" si="67">IF(D$12=0,0,D74/D$12)</f>
        <v>2.0893261844212745E-3</v>
      </c>
      <c r="G74" s="1"/>
      <c r="H74" s="1">
        <f>SUM(OSRRefH22_11x_0)</f>
        <v>53.9</v>
      </c>
      <c r="I74" s="1"/>
      <c r="J74" s="5">
        <f t="shared" ref="J74:J77" si="68">IF(H$12=0,0,H74/H$12)</f>
        <v>3.011173184357542</v>
      </c>
      <c r="K74" s="1"/>
      <c r="L74" s="1">
        <f t="shared" ref="L74:L77" si="69">+D74-H74</f>
        <v>-0.89999999999999858</v>
      </c>
      <c r="M74" s="1"/>
      <c r="N74" s="5">
        <f t="shared" ref="N74:N77" si="70">IF(H74=0,0,L74/H74)</f>
        <v>-1.669758812615953E-2</v>
      </c>
      <c r="O74" s="14"/>
      <c r="P74" s="1">
        <f>SUM(OSRRefP22_11x_0)</f>
        <v>172</v>
      </c>
      <c r="Q74" s="1"/>
      <c r="R74" s="5">
        <f t="shared" ref="R74:R77" si="71">IF(P$12=0,0,P74/P$12)</f>
        <v>2.5465508005793102E-3</v>
      </c>
      <c r="S74" s="1"/>
      <c r="T74" s="1">
        <f>SUM(OSRRefT22_11x_0)</f>
        <v>259.89999999999998</v>
      </c>
      <c r="U74" s="1"/>
      <c r="V74" s="5">
        <f t="shared" ref="V74:V77" si="72">IF(T$12=0,0,T74/T$12)</f>
        <v>1.2195053284734553E-2</v>
      </c>
      <c r="W74" s="1"/>
      <c r="X74" s="1">
        <f t="shared" ref="X74:X77" si="73">+P74-T74</f>
        <v>-87.899999999999977</v>
      </c>
      <c r="Y74" s="1"/>
      <c r="Z74" s="5">
        <f t="shared" ref="Z74:Z77" si="74">IF(T74=0,0,X74/T74)</f>
        <v>-0.33820700269334353</v>
      </c>
    </row>
    <row r="75" spans="1:26" s="24" customFormat="1" hidden="1" outlineLevel="2" x14ac:dyDescent="0.25">
      <c r="A75" s="29"/>
      <c r="B75" s="11" t="str">
        <f>CONCATENATE("          ", "6309", " - ", "TELEPHONE")</f>
        <v xml:space="preserve">          6309 - TELEPHONE</v>
      </c>
      <c r="C75" s="11"/>
      <c r="D75" s="6">
        <v>53</v>
      </c>
      <c r="E75" s="2"/>
      <c r="F75" s="7">
        <f t="shared" si="67"/>
        <v>2.0893261844212745E-3</v>
      </c>
      <c r="G75" s="2"/>
      <c r="H75" s="6">
        <v>53.9</v>
      </c>
      <c r="I75" s="2"/>
      <c r="J75" s="7">
        <f t="shared" si="68"/>
        <v>3.011173184357542</v>
      </c>
      <c r="K75" s="2"/>
      <c r="L75" s="6">
        <f t="shared" si="69"/>
        <v>-0.89999999999999858</v>
      </c>
      <c r="M75" s="2"/>
      <c r="N75" s="7">
        <f t="shared" si="70"/>
        <v>-1.669758812615953E-2</v>
      </c>
      <c r="O75" s="11"/>
      <c r="P75" s="6">
        <v>172</v>
      </c>
      <c r="Q75" s="2"/>
      <c r="R75" s="7">
        <f t="shared" si="71"/>
        <v>2.5465508005793102E-3</v>
      </c>
      <c r="S75" s="2"/>
      <c r="T75" s="6">
        <v>259.89999999999998</v>
      </c>
      <c r="U75" s="2"/>
      <c r="V75" s="7">
        <f t="shared" si="72"/>
        <v>1.2195053284734553E-2</v>
      </c>
      <c r="W75" s="2"/>
      <c r="X75" s="6">
        <f t="shared" si="73"/>
        <v>-87.899999999999977</v>
      </c>
      <c r="Y75" s="2"/>
      <c r="Z75" s="7">
        <f t="shared" si="74"/>
        <v>-0.33820700269334353</v>
      </c>
    </row>
    <row r="76" spans="1:26" s="28" customFormat="1" outlineLevel="1" collapsed="1" x14ac:dyDescent="0.25">
      <c r="A76" s="27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SUM(OSRRefD22_12x_0)</f>
        <v>0</v>
      </c>
      <c r="E76" s="1"/>
      <c r="F76" s="5">
        <f t="shared" si="67"/>
        <v>0</v>
      </c>
      <c r="G76" s="1"/>
      <c r="H76" s="1">
        <f>SUM(OSRRefH22_12x_0)</f>
        <v>14</v>
      </c>
      <c r="I76" s="1"/>
      <c r="J76" s="5">
        <f t="shared" si="68"/>
        <v>0.78212290502793302</v>
      </c>
      <c r="K76" s="1"/>
      <c r="L76" s="1">
        <f t="shared" si="69"/>
        <v>-14</v>
      </c>
      <c r="M76" s="1"/>
      <c r="N76" s="5">
        <f t="shared" si="70"/>
        <v>-1</v>
      </c>
      <c r="O76" s="14"/>
      <c r="P76" s="1">
        <f>SUM(OSRRefP22_12x_0)</f>
        <v>0</v>
      </c>
      <c r="Q76" s="1"/>
      <c r="R76" s="5">
        <f t="shared" si="71"/>
        <v>0</v>
      </c>
      <c r="S76" s="1"/>
      <c r="T76" s="1">
        <f>SUM(OSRRefT22_12x_0)</f>
        <v>14</v>
      </c>
      <c r="U76" s="1"/>
      <c r="V76" s="5">
        <f t="shared" si="72"/>
        <v>6.5690937278293094E-4</v>
      </c>
      <c r="W76" s="1"/>
      <c r="X76" s="1">
        <f t="shared" si="73"/>
        <v>-14</v>
      </c>
      <c r="Y76" s="1"/>
      <c r="Z76" s="5">
        <f t="shared" si="74"/>
        <v>-1</v>
      </c>
    </row>
    <row r="77" spans="1:26" s="24" customFormat="1" hidden="1" outlineLevel="2" x14ac:dyDescent="0.25">
      <c r="A77" s="29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67"/>
        <v>0</v>
      </c>
      <c r="G77" s="2"/>
      <c r="H77" s="6">
        <v>14</v>
      </c>
      <c r="I77" s="2"/>
      <c r="J77" s="7">
        <f t="shared" si="68"/>
        <v>0.78212290502793302</v>
      </c>
      <c r="K77" s="2"/>
      <c r="L77" s="6">
        <f t="shared" si="69"/>
        <v>-14</v>
      </c>
      <c r="M77" s="2"/>
      <c r="N77" s="7">
        <f t="shared" si="70"/>
        <v>-1</v>
      </c>
      <c r="O77" s="11"/>
      <c r="P77" s="6"/>
      <c r="Q77" s="2"/>
      <c r="R77" s="7">
        <f t="shared" si="71"/>
        <v>0</v>
      </c>
      <c r="S77" s="2"/>
      <c r="T77" s="6">
        <v>14</v>
      </c>
      <c r="U77" s="2"/>
      <c r="V77" s="7">
        <f t="shared" si="72"/>
        <v>6.5690937278293094E-4</v>
      </c>
      <c r="W77" s="2"/>
      <c r="X77" s="6">
        <f t="shared" si="73"/>
        <v>-14</v>
      </c>
      <c r="Y77" s="2"/>
      <c r="Z77" s="7">
        <f t="shared" si="74"/>
        <v>-1</v>
      </c>
    </row>
    <row r="78" spans="1:26" s="56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276</v>
      </c>
      <c r="C81" s="26"/>
      <c r="D81" s="22">
        <f>+D39-D41+D79</f>
        <v>2907.1499999999978</v>
      </c>
      <c r="E81" s="13"/>
      <c r="F81" s="20">
        <f>IF(D$12=0,0,D81/D$12)</f>
        <v>0.11460348334038309</v>
      </c>
      <c r="G81" s="13"/>
      <c r="H81" s="22">
        <f>+H39-H41+H79</f>
        <v>-1406.4899999999957</v>
      </c>
      <c r="I81" s="13"/>
      <c r="J81" s="20">
        <f>IF(H$12=0,0,H81/H$12)</f>
        <v>-78.574860335195297</v>
      </c>
      <c r="K81" s="15"/>
      <c r="L81" s="22">
        <f>+D81-H81</f>
        <v>4313.639999999994</v>
      </c>
      <c r="M81" s="15"/>
      <c r="N81" s="20">
        <f>IF(H81=0,0,L81/H81)</f>
        <v>-3.06695390653329</v>
      </c>
      <c r="O81" s="25"/>
      <c r="P81" s="22">
        <f>+P39-P41+P79</f>
        <v>15023.990000000011</v>
      </c>
      <c r="Q81" s="13"/>
      <c r="R81" s="20">
        <f>IF(P$12=0,0,P81/P$12)</f>
        <v>0.22243810326974173</v>
      </c>
      <c r="S81" s="13"/>
      <c r="T81" s="22">
        <f>+T39-T41+T79</f>
        <v>-4489.1899999999914</v>
      </c>
      <c r="U81" s="13"/>
      <c r="V81" s="20">
        <f>IF(T$12=0,0,T81/T$12)</f>
        <v>-0.21064221337167144</v>
      </c>
      <c r="W81" s="15"/>
      <c r="X81" s="22">
        <f>+P81-T81</f>
        <v>19513.18</v>
      </c>
      <c r="Y81" s="15"/>
      <c r="Z81" s="20">
        <f>IF(T81=0,0,X81/T81)</f>
        <v>-4.3467039710950166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127</v>
      </c>
      <c r="C83" s="10"/>
      <c r="D83" s="4">
        <v>2587.06</v>
      </c>
      <c r="E83" s="4"/>
      <c r="F83" s="12">
        <f>IF(D$12=0,0,D83/D$12)</f>
        <v>0.10198513582394156</v>
      </c>
      <c r="G83" s="4"/>
      <c r="H83" s="4">
        <v>671.8</v>
      </c>
      <c r="I83" s="4"/>
      <c r="J83" s="12">
        <f>IF(H$12=0,0,H83/H$12)</f>
        <v>37.530726256983243</v>
      </c>
      <c r="K83" s="4"/>
      <c r="L83" s="4">
        <f>+D83-H83</f>
        <v>1915.26</v>
      </c>
      <c r="M83" s="4"/>
      <c r="N83" s="12">
        <f>IF(H83=0,0,L83/H83)</f>
        <v>2.8509377791009229</v>
      </c>
      <c r="O83" s="10"/>
      <c r="P83" s="4">
        <v>7807.34</v>
      </c>
      <c r="Q83" s="4"/>
      <c r="R83" s="12">
        <f>IF(P$12=0,0,P83/P$12)</f>
        <v>0.11559179027555158</v>
      </c>
      <c r="S83" s="4"/>
      <c r="T83" s="4">
        <v>4616.62</v>
      </c>
      <c r="U83" s="4"/>
      <c r="V83" s="12">
        <f>IF(T$12=0,0,T83/T$12)</f>
        <v>0.21662149632693817</v>
      </c>
      <c r="W83" s="4"/>
      <c r="X83" s="4">
        <f>+P83-T83</f>
        <v>3190.7200000000003</v>
      </c>
      <c r="Y83" s="4"/>
      <c r="Z83" s="12">
        <f>IF(T83=0,0,X83/T83)</f>
        <v>0.69113767214975463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125</v>
      </c>
      <c r="C85" s="26"/>
      <c r="D85" s="33">
        <f>+D81-D83</f>
        <v>320.08999999999787</v>
      </c>
      <c r="E85" s="13"/>
      <c r="F85" s="31">
        <f>IF(D$12=0,0,D85/D$12)</f>
        <v>1.2618347516441534E-2</v>
      </c>
      <c r="G85" s="13"/>
      <c r="H85" s="33">
        <f>+H81-H83</f>
        <v>-2078.2899999999954</v>
      </c>
      <c r="I85" s="13"/>
      <c r="J85" s="31">
        <f>IF(H$12=0,0,H85/H$12)</f>
        <v>-116.10558659217853</v>
      </c>
      <c r="K85" s="15"/>
      <c r="L85" s="33">
        <f>D85-H85</f>
        <v>2398.3799999999933</v>
      </c>
      <c r="M85" s="15"/>
      <c r="N85" s="31">
        <f>IF(H85=0,0,L85/H85)</f>
        <v>-1.1540160420345567</v>
      </c>
      <c r="O85" s="25"/>
      <c r="P85" s="33">
        <f>+P81-P83</f>
        <v>7216.6500000000106</v>
      </c>
      <c r="Q85" s="13"/>
      <c r="R85" s="31">
        <f>IF(P$12=0,0,P85/P$12)</f>
        <v>0.10684631299419016</v>
      </c>
      <c r="S85" s="13"/>
      <c r="T85" s="33">
        <f>+T81-T83</f>
        <v>-9105.8099999999904</v>
      </c>
      <c r="U85" s="13"/>
      <c r="V85" s="31">
        <f>IF(T$12=0,0,T85/T$12)</f>
        <v>-0.42726370969860955</v>
      </c>
      <c r="W85" s="15"/>
      <c r="X85" s="33">
        <f>P85-T85</f>
        <v>16322.460000000001</v>
      </c>
      <c r="Y85" s="15"/>
      <c r="Z85" s="31">
        <f>IF(T85=0,0,X85/T85)</f>
        <v>-1.7925324600447428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293</v>
      </c>
      <c r="C88" s="26"/>
      <c r="D88" s="34">
        <f>SUM(D85:D87)</f>
        <v>320.08999999999787</v>
      </c>
      <c r="E88" s="13"/>
      <c r="F88" s="30">
        <f>IF(D$12=0,0,D88/D$12)</f>
        <v>1.2618347516441534E-2</v>
      </c>
      <c r="G88" s="13"/>
      <c r="H88" s="34">
        <f>SUM(H85:H87)</f>
        <v>-2078.2899999999954</v>
      </c>
      <c r="I88" s="13"/>
      <c r="J88" s="30">
        <f>IF(H$12=0,0,H88/H$12)</f>
        <v>-116.10558659217853</v>
      </c>
      <c r="K88" s="15"/>
      <c r="L88" s="34">
        <f>+D88-H88</f>
        <v>2398.3799999999933</v>
      </c>
      <c r="M88" s="15"/>
      <c r="N88" s="30">
        <f>IF(H88=0,0,L88/H88)</f>
        <v>-1.1540160420345567</v>
      </c>
      <c r="O88" s="25"/>
      <c r="P88" s="34">
        <f>SUM(P85:P87)</f>
        <v>7216.6500000000106</v>
      </c>
      <c r="Q88" s="13"/>
      <c r="R88" s="30">
        <f>IF(P$12=0,0,P88/P$12)</f>
        <v>0.10684631299419016</v>
      </c>
      <c r="S88" s="13"/>
      <c r="T88" s="34">
        <f>SUM(T85:T87)</f>
        <v>-9105.8099999999904</v>
      </c>
      <c r="U88" s="13"/>
      <c r="V88" s="30">
        <f>IF(T$12=0,0,T88/T$12)</f>
        <v>-0.42726370969860955</v>
      </c>
      <c r="W88" s="15"/>
      <c r="X88" s="34">
        <f>+P88-T88</f>
        <v>16322.460000000001</v>
      </c>
      <c r="Y88" s="15"/>
      <c r="Z88" s="30">
        <f>IF(T88=0,0,X88/T88)</f>
        <v>-1.7925324600447428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1">
        <v>44517.967041516204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7" t="s">
        <v>56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8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37617.599999999991</v>
      </c>
      <c r="E12" s="4"/>
      <c r="F12" s="12"/>
      <c r="G12" s="4"/>
      <c r="H12" s="4">
        <f>SUM(OSRRefH13x_0)</f>
        <v>34183.24</v>
      </c>
      <c r="I12" s="4"/>
      <c r="J12" s="12"/>
      <c r="K12" s="4"/>
      <c r="L12" s="4">
        <f t="shared" ref="L12:L36" si="0">+D12-H12</f>
        <v>3434.3599999999933</v>
      </c>
      <c r="M12" s="4"/>
      <c r="N12" s="12">
        <f t="shared" ref="N12:N36" si="1">IF(H12=0,0,L12/H12)</f>
        <v>0.10046911878452697</v>
      </c>
      <c r="O12" s="10"/>
      <c r="P12" s="4">
        <f>SUM(OSRRefP13x_0)</f>
        <v>1343759.7000000002</v>
      </c>
      <c r="Q12" s="4"/>
      <c r="R12" s="12"/>
      <c r="S12" s="4"/>
      <c r="T12" s="4">
        <f>SUM(OSRRefT13x_0)</f>
        <v>1545706.0299999996</v>
      </c>
      <c r="U12" s="4"/>
      <c r="V12" s="12"/>
      <c r="W12" s="4"/>
      <c r="X12" s="4">
        <f t="shared" ref="X12:X36" si="2">+P12-T12</f>
        <v>-201946.32999999938</v>
      </c>
      <c r="Y12" s="4"/>
      <c r="Z12" s="12">
        <f t="shared" ref="Z12:Z36" si="3">IF(T12=0,0,X12/T12)</f>
        <v>-0.13064989466334645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--26031.35</f>
        <v>26031.35</v>
      </c>
      <c r="E13" s="2"/>
      <c r="F13" s="19"/>
      <c r="G13" s="2"/>
      <c r="H13" s="2">
        <f>-1377.28</f>
        <v>-1377.28</v>
      </c>
      <c r="I13" s="2"/>
      <c r="J13" s="19"/>
      <c r="K13" s="2"/>
      <c r="L13" s="2">
        <f t="shared" si="0"/>
        <v>27408.629999999997</v>
      </c>
      <c r="M13" s="2"/>
      <c r="N13" s="19">
        <f t="shared" si="1"/>
        <v>-19.900550360130111</v>
      </c>
      <c r="O13" s="11"/>
      <c r="P13" s="2">
        <f>--981047.5</f>
        <v>981047.5</v>
      </c>
      <c r="Q13" s="2"/>
      <c r="R13" s="19"/>
      <c r="S13" s="2"/>
      <c r="T13" s="2">
        <f>-6370.82</f>
        <v>-6370.82</v>
      </c>
      <c r="U13" s="2"/>
      <c r="V13" s="19"/>
      <c r="W13" s="2"/>
      <c r="X13" s="2">
        <f t="shared" si="2"/>
        <v>987418.32</v>
      </c>
      <c r="Y13" s="2"/>
      <c r="Z13" s="19">
        <f t="shared" si="3"/>
        <v>-154.99077355819188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--17630.93</f>
        <v>17630.93</v>
      </c>
      <c r="I14" s="2"/>
      <c r="J14" s="19"/>
      <c r="K14" s="2"/>
      <c r="L14" s="2">
        <f t="shared" si="0"/>
        <v>-17630.93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--712327.57</f>
        <v>712327.57</v>
      </c>
      <c r="U14" s="2"/>
      <c r="V14" s="19"/>
      <c r="W14" s="2"/>
      <c r="X14" s="2">
        <f t="shared" si="2"/>
        <v>-712327.57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--2483.62</f>
        <v>2483.62</v>
      </c>
      <c r="I15" s="2"/>
      <c r="J15" s="19"/>
      <c r="K15" s="2"/>
      <c r="L15" s="2">
        <f t="shared" si="0"/>
        <v>-2483.62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--319139.52</f>
        <v>319139.52</v>
      </c>
      <c r="U15" s="2"/>
      <c r="V15" s="19"/>
      <c r="W15" s="2"/>
      <c r="X15" s="2">
        <f t="shared" si="2"/>
        <v>-319139.52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--70</f>
        <v>70</v>
      </c>
      <c r="I16" s="2"/>
      <c r="J16" s="19"/>
      <c r="K16" s="2"/>
      <c r="L16" s="2">
        <f t="shared" si="0"/>
        <v>-70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--354.45</f>
        <v>354.45</v>
      </c>
      <c r="I17" s="2"/>
      <c r="J17" s="19"/>
      <c r="K17" s="2"/>
      <c r="L17" s="2">
        <f t="shared" si="0"/>
        <v>-354.45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--157.47</f>
        <v>157.47</v>
      </c>
      <c r="I18" s="2"/>
      <c r="J18" s="19"/>
      <c r="K18" s="2"/>
      <c r="L18" s="2">
        <f t="shared" si="0"/>
        <v>-157.47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--197.37</f>
        <v>197.37</v>
      </c>
      <c r="U18" s="2"/>
      <c r="V18" s="19"/>
      <c r="W18" s="2"/>
      <c r="X18" s="2">
        <f t="shared" si="2"/>
        <v>-197.37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</f>
        <v>35.799999999999997</v>
      </c>
      <c r="I19" s="2"/>
      <c r="J19" s="19"/>
      <c r="K19" s="2"/>
      <c r="L19" s="2">
        <f t="shared" si="0"/>
        <v>-35.799999999999997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--21904.93</f>
        <v>21904.93</v>
      </c>
      <c r="E21" s="2"/>
      <c r="F21" s="19"/>
      <c r="G21" s="2"/>
      <c r="H21" s="2">
        <f>--135.79</f>
        <v>135.79</v>
      </c>
      <c r="I21" s="2"/>
      <c r="J21" s="19"/>
      <c r="K21" s="2"/>
      <c r="L21" s="2">
        <f t="shared" si="0"/>
        <v>21769.14</v>
      </c>
      <c r="M21" s="2"/>
      <c r="N21" s="19">
        <f t="shared" si="1"/>
        <v>160.31475071802049</v>
      </c>
      <c r="O21" s="11"/>
      <c r="P21" s="2">
        <f>--416483.22</f>
        <v>416483.22</v>
      </c>
      <c r="Q21" s="2"/>
      <c r="R21" s="19"/>
      <c r="S21" s="2"/>
      <c r="T21" s="2">
        <f>--164479.81</f>
        <v>164479.81</v>
      </c>
      <c r="U21" s="2"/>
      <c r="V21" s="19"/>
      <c r="W21" s="2"/>
      <c r="X21" s="2">
        <f t="shared" si="2"/>
        <v>252003.40999999997</v>
      </c>
      <c r="Y21" s="2"/>
      <c r="Z21" s="19">
        <f t="shared" si="3"/>
        <v>1.5321236691603668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6">0</f>
        <v>0</v>
      </c>
      <c r="E22" s="2"/>
      <c r="F22" s="19"/>
      <c r="G22" s="2"/>
      <c r="H22" s="2">
        <f>--7260.05</f>
        <v>7260.05</v>
      </c>
      <c r="I22" s="2"/>
      <c r="J22" s="19"/>
      <c r="K22" s="2"/>
      <c r="L22" s="2">
        <f t="shared" si="0"/>
        <v>-7260.05</v>
      </c>
      <c r="M22" s="2"/>
      <c r="N22" s="19">
        <f t="shared" si="1"/>
        <v>-1</v>
      </c>
      <c r="O22" s="11"/>
      <c r="P22" s="2">
        <f t="shared" ref="P22:P27" si="7">0</f>
        <v>0</v>
      </c>
      <c r="Q22" s="2"/>
      <c r="R22" s="19"/>
      <c r="S22" s="2"/>
      <c r="T22" s="2">
        <f>--77664.89</f>
        <v>77664.89</v>
      </c>
      <c r="U22" s="2"/>
      <c r="V22" s="19"/>
      <c r="W22" s="2"/>
      <c r="X22" s="2">
        <f t="shared" si="2"/>
        <v>-77664.89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--2341.65</f>
        <v>2341.65</v>
      </c>
      <c r="I23" s="2"/>
      <c r="J23" s="19"/>
      <c r="K23" s="2"/>
      <c r="L23" s="2">
        <f t="shared" si="0"/>
        <v>-2341.65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--32712.47</f>
        <v>32712.47</v>
      </c>
      <c r="U23" s="2"/>
      <c r="V23" s="19"/>
      <c r="W23" s="2"/>
      <c r="X23" s="2">
        <f t="shared" si="2"/>
        <v>-32712.47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6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7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6"/>
        <v>0</v>
      </c>
      <c r="E25" s="2"/>
      <c r="F25" s="19"/>
      <c r="G25" s="2"/>
      <c r="H25" s="2">
        <f>--6767.67</f>
        <v>6767.67</v>
      </c>
      <c r="I25" s="2"/>
      <c r="J25" s="19"/>
      <c r="K25" s="2"/>
      <c r="L25" s="2">
        <f t="shared" si="0"/>
        <v>-6767.67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--293475.52</f>
        <v>293475.52</v>
      </c>
      <c r="U25" s="2"/>
      <c r="V25" s="19"/>
      <c r="W25" s="2"/>
      <c r="X25" s="2">
        <f t="shared" si="2"/>
        <v>-293475.52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6"/>
        <v>0</v>
      </c>
      <c r="E26" s="2"/>
      <c r="F26" s="19"/>
      <c r="G26" s="2"/>
      <c r="H26" s="2">
        <f>--1655.95</f>
        <v>1655.95</v>
      </c>
      <c r="I26" s="2"/>
      <c r="J26" s="19"/>
      <c r="K26" s="2"/>
      <c r="L26" s="2">
        <f t="shared" si="0"/>
        <v>-1655.95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--1655.95</f>
        <v>1655.95</v>
      </c>
      <c r="U26" s="2"/>
      <c r="V26" s="19"/>
      <c r="W26" s="2"/>
      <c r="X26" s="2">
        <f t="shared" si="2"/>
        <v>-1655.95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6"/>
        <v>0</v>
      </c>
      <c r="E27" s="2"/>
      <c r="F27" s="19"/>
      <c r="G27" s="2"/>
      <c r="H27" s="2">
        <f>--97.3</f>
        <v>97.3</v>
      </c>
      <c r="I27" s="2"/>
      <c r="J27" s="19"/>
      <c r="K27" s="2"/>
      <c r="L27" s="2">
        <f t="shared" si="0"/>
        <v>-97.3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--205.63</f>
        <v>205.63</v>
      </c>
      <c r="U27" s="2"/>
      <c r="V27" s="19"/>
      <c r="W27" s="2"/>
      <c r="X27" s="2">
        <f t="shared" si="2"/>
        <v>-205.63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"4200", " - ", "TAXABLE RETURNS")</f>
        <v xml:space="preserve">          4200 - TAXABLE RETURNS</v>
      </c>
      <c r="C28" s="11"/>
      <c r="D28" s="2">
        <f>-4428.05</f>
        <v>-4428.05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-4428.05</v>
      </c>
      <c r="M28" s="2"/>
      <c r="N28" s="19">
        <f t="shared" si="1"/>
        <v>0</v>
      </c>
      <c r="O28" s="11"/>
      <c r="P28" s="2">
        <f>-28333.13</f>
        <v>-28333.13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-28333.13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8">0</f>
        <v>0</v>
      </c>
      <c r="E29" s="2"/>
      <c r="F29" s="19"/>
      <c r="G29" s="2"/>
      <c r="H29" s="2">
        <f>-1512.25</f>
        <v>-1512.25</v>
      </c>
      <c r="I29" s="2"/>
      <c r="J29" s="19"/>
      <c r="K29" s="2"/>
      <c r="L29" s="2">
        <f t="shared" si="0"/>
        <v>1512.25</v>
      </c>
      <c r="M29" s="2"/>
      <c r="N29" s="19">
        <f t="shared" si="1"/>
        <v>-1</v>
      </c>
      <c r="O29" s="11"/>
      <c r="P29" s="2">
        <f t="shared" ref="P29:P31" si="9">0</f>
        <v>0</v>
      </c>
      <c r="Q29" s="2"/>
      <c r="R29" s="19"/>
      <c r="S29" s="2"/>
      <c r="T29" s="2">
        <f>-33761.24</f>
        <v>-33761.24</v>
      </c>
      <c r="U29" s="2"/>
      <c r="V29" s="19"/>
      <c r="W29" s="2"/>
      <c r="X29" s="2">
        <f t="shared" si="2"/>
        <v>33761.24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8"/>
        <v>0</v>
      </c>
      <c r="E30" s="2"/>
      <c r="F30" s="19"/>
      <c r="G30" s="2"/>
      <c r="H30" s="2">
        <f>-136.05</f>
        <v>-136.05000000000001</v>
      </c>
      <c r="I30" s="2"/>
      <c r="J30" s="19"/>
      <c r="K30" s="2"/>
      <c r="L30" s="2">
        <f t="shared" si="0"/>
        <v>136.05000000000001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-10529</f>
        <v>-10529</v>
      </c>
      <c r="U30" s="2"/>
      <c r="V30" s="19"/>
      <c r="W30" s="2"/>
      <c r="X30" s="2">
        <f t="shared" si="2"/>
        <v>10529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8"/>
        <v>0</v>
      </c>
      <c r="E31" s="2"/>
      <c r="F31" s="19"/>
      <c r="G31" s="2"/>
      <c r="H31" s="2">
        <f>-383.9</f>
        <v>-383.9</v>
      </c>
      <c r="I31" s="2"/>
      <c r="J31" s="19"/>
      <c r="K31" s="2"/>
      <c r="L31" s="2">
        <f t="shared" si="0"/>
        <v>383.9</v>
      </c>
      <c r="M31" s="2"/>
      <c r="N31" s="19">
        <f t="shared" si="1"/>
        <v>-1</v>
      </c>
      <c r="O31" s="11"/>
      <c r="P31" s="2">
        <f t="shared" si="9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"4300", " - ", "NON-TAX RETURNS")</f>
        <v xml:space="preserve">          4300 - NON-TAX RETURNS</v>
      </c>
      <c r="C32" s="11"/>
      <c r="D32" s="2">
        <f>-5357.9</f>
        <v>-5357.9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-5357.9</v>
      </c>
      <c r="M32" s="2"/>
      <c r="N32" s="19">
        <f t="shared" si="1"/>
        <v>0</v>
      </c>
      <c r="O32" s="11"/>
      <c r="P32" s="2">
        <f>-24905.16</f>
        <v>-24905.16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-24905.16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0">0</f>
        <v>0</v>
      </c>
      <c r="E33" s="2"/>
      <c r="F33" s="19"/>
      <c r="G33" s="2"/>
      <c r="H33" s="2">
        <f>-535.49</f>
        <v>-535.49</v>
      </c>
      <c r="I33" s="2"/>
      <c r="J33" s="19"/>
      <c r="K33" s="2"/>
      <c r="L33" s="2">
        <f t="shared" si="0"/>
        <v>535.49</v>
      </c>
      <c r="M33" s="2"/>
      <c r="N33" s="19">
        <f t="shared" si="1"/>
        <v>-1</v>
      </c>
      <c r="O33" s="11"/>
      <c r="P33" s="2">
        <f t="shared" ref="P33:P35" si="11">0</f>
        <v>0</v>
      </c>
      <c r="Q33" s="2"/>
      <c r="R33" s="19"/>
      <c r="S33" s="2"/>
      <c r="T33" s="2">
        <f>-2376.17</f>
        <v>-2376.17</v>
      </c>
      <c r="U33" s="2"/>
      <c r="V33" s="19"/>
      <c r="W33" s="2"/>
      <c r="X33" s="2">
        <f t="shared" si="2"/>
        <v>2376.17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0"/>
        <v>0</v>
      </c>
      <c r="E34" s="2"/>
      <c r="F34" s="19"/>
      <c r="G34" s="2"/>
      <c r="H34" s="2">
        <f>-169.72</f>
        <v>-169.72</v>
      </c>
      <c r="I34" s="2"/>
      <c r="J34" s="19"/>
      <c r="K34" s="2"/>
      <c r="L34" s="2">
        <f t="shared" si="0"/>
        <v>169.72</v>
      </c>
      <c r="M34" s="2"/>
      <c r="N34" s="19">
        <f t="shared" si="1"/>
        <v>-1</v>
      </c>
      <c r="O34" s="11"/>
      <c r="P34" s="2">
        <f t="shared" si="11"/>
        <v>0</v>
      </c>
      <c r="Q34" s="2"/>
      <c r="R34" s="19"/>
      <c r="S34" s="2"/>
      <c r="T34" s="2">
        <f>-1316.8</f>
        <v>-1316.8</v>
      </c>
      <c r="U34" s="2"/>
      <c r="V34" s="19"/>
      <c r="W34" s="2"/>
      <c r="X34" s="2">
        <f t="shared" si="2"/>
        <v>1316.8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0"/>
        <v>0</v>
      </c>
      <c r="E35" s="2"/>
      <c r="F35" s="19"/>
      <c r="G35" s="2"/>
      <c r="H35" s="2">
        <f>-692.75</f>
        <v>-692.75</v>
      </c>
      <c r="I35" s="2"/>
      <c r="J35" s="19"/>
      <c r="K35" s="2"/>
      <c r="L35" s="2">
        <f t="shared" si="0"/>
        <v>692.75</v>
      </c>
      <c r="M35" s="2"/>
      <c r="N35" s="19">
        <f t="shared" si="1"/>
        <v>-1</v>
      </c>
      <c r="O35" s="11"/>
      <c r="P35" s="2">
        <f t="shared" si="11"/>
        <v>0</v>
      </c>
      <c r="Q35" s="2"/>
      <c r="R35" s="19"/>
      <c r="S35" s="2"/>
      <c r="T35" s="2">
        <f>-14102.11</f>
        <v>-14102.11</v>
      </c>
      <c r="U35" s="2"/>
      <c r="V35" s="19"/>
      <c r="W35" s="2"/>
      <c r="X35" s="2">
        <f t="shared" si="2"/>
        <v>14102.11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"4500", " - ", "SALES DISCOUNT")</f>
        <v xml:space="preserve">          4500 - SALES DISCOUNT</v>
      </c>
      <c r="C36" s="11"/>
      <c r="D36" s="2">
        <f>-532.73</f>
        <v>-532.73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-532.73</v>
      </c>
      <c r="M36" s="2"/>
      <c r="N36" s="19">
        <f t="shared" si="1"/>
        <v>0</v>
      </c>
      <c r="O36" s="11"/>
      <c r="P36" s="2">
        <f>-532.73</f>
        <v>-532.73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-532.73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5" t="s">
        <v>256</v>
      </c>
      <c r="C38" s="10"/>
      <c r="D38" s="4">
        <f>SUM(OSRRefD16x_0)</f>
        <v>24321.970000000027</v>
      </c>
      <c r="E38" s="4"/>
      <c r="F38" s="12">
        <f t="shared" ref="F38:F53" si="12">IF(D$12=0,0,D38/D$12)</f>
        <v>0.6465582599634222</v>
      </c>
      <c r="G38" s="4"/>
      <c r="H38" s="4">
        <f>SUM(OSRRefH16x_0)</f>
        <v>26221.499999999985</v>
      </c>
      <c r="I38" s="4"/>
      <c r="J38" s="12">
        <f t="shared" ref="J38:J53" si="13">IF(H$12=0,0,H38/H$12)</f>
        <v>0.76708644353197608</v>
      </c>
      <c r="K38" s="4"/>
      <c r="L38" s="4">
        <f t="shared" ref="L38:L53" si="14">+D38-H38</f>
        <v>-1899.5299999999588</v>
      </c>
      <c r="M38" s="4"/>
      <c r="N38" s="12">
        <f t="shared" ref="N38:N53" si="15">IF(H38=0,0,L38/H38)</f>
        <v>-7.2441698606104152E-2</v>
      </c>
      <c r="O38" s="10"/>
      <c r="P38" s="4">
        <f>SUM(OSRRefP16x_0)</f>
        <v>1096835.9599999997</v>
      </c>
      <c r="Q38" s="4"/>
      <c r="R38" s="12">
        <f t="shared" ref="R38:R53" si="16">IF(P$12=0,0,P38/P$12)</f>
        <v>0.8162441246005514</v>
      </c>
      <c r="S38" s="4"/>
      <c r="T38" s="4">
        <f>SUM(OSRRefT16x_0)</f>
        <v>1106717.3400000001</v>
      </c>
      <c r="U38" s="4"/>
      <c r="V38" s="12">
        <f t="shared" ref="V38:V53" si="17">IF(T$12=0,0,T38/T$12)</f>
        <v>0.71599470955030198</v>
      </c>
      <c r="W38" s="4"/>
      <c r="X38" s="4">
        <f t="shared" ref="X38:X53" si="18">+P38-T38</f>
        <v>-9881.3800000003539</v>
      </c>
      <c r="Y38" s="4"/>
      <c r="Z38" s="12">
        <f t="shared" ref="Z38:Z53" si="19">IF(T38=0,0,X38/T38)</f>
        <v>-8.9285490005969852E-3</v>
      </c>
    </row>
    <row r="39" spans="1:26" s="24" customFormat="1" hidden="1" outlineLevel="1" x14ac:dyDescent="0.25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276289.31</v>
      </c>
      <c r="E39" s="2"/>
      <c r="F39" s="19">
        <f t="shared" si="12"/>
        <v>7.3446820105482553</v>
      </c>
      <c r="G39" s="2"/>
      <c r="H39" s="2">
        <v>0</v>
      </c>
      <c r="I39" s="2"/>
      <c r="J39" s="19">
        <f t="shared" si="13"/>
        <v>0</v>
      </c>
      <c r="K39" s="2"/>
      <c r="L39" s="2">
        <f t="shared" si="14"/>
        <v>276289.31</v>
      </c>
      <c r="M39" s="2"/>
      <c r="N39" s="19">
        <f t="shared" si="15"/>
        <v>0</v>
      </c>
      <c r="O39" s="11"/>
      <c r="P39" s="2">
        <v>1543809.9</v>
      </c>
      <c r="Q39" s="2"/>
      <c r="R39" s="19">
        <f t="shared" si="16"/>
        <v>1.1488734927829729</v>
      </c>
      <c r="S39" s="2"/>
      <c r="T39" s="2">
        <v>0</v>
      </c>
      <c r="U39" s="2"/>
      <c r="V39" s="19">
        <f t="shared" si="17"/>
        <v>0</v>
      </c>
      <c r="W39" s="2"/>
      <c r="X39" s="2">
        <f t="shared" si="18"/>
        <v>1543809.9</v>
      </c>
      <c r="Y39" s="2"/>
      <c r="Z39" s="19">
        <f t="shared" si="19"/>
        <v>0</v>
      </c>
    </row>
    <row r="40" spans="1:26" s="24" customFormat="1" hidden="1" outlineLevel="1" x14ac:dyDescent="0.25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>
        <v>0</v>
      </c>
      <c r="E40" s="2"/>
      <c r="F40" s="19">
        <f t="shared" si="12"/>
        <v>0</v>
      </c>
      <c r="G40" s="2"/>
      <c r="H40" s="2">
        <v>55775.07</v>
      </c>
      <c r="I40" s="2"/>
      <c r="J40" s="19">
        <f t="shared" si="13"/>
        <v>1.6316496037239303</v>
      </c>
      <c r="K40" s="2"/>
      <c r="L40" s="2">
        <f t="shared" si="14"/>
        <v>-55775.07</v>
      </c>
      <c r="M40" s="2"/>
      <c r="N40" s="19">
        <f t="shared" si="15"/>
        <v>-1</v>
      </c>
      <c r="O40" s="11"/>
      <c r="P40" s="2">
        <v>0</v>
      </c>
      <c r="Q40" s="2"/>
      <c r="R40" s="19">
        <f t="shared" si="16"/>
        <v>0</v>
      </c>
      <c r="S40" s="2"/>
      <c r="T40" s="2">
        <v>1349196.83</v>
      </c>
      <c r="U40" s="2"/>
      <c r="V40" s="19">
        <f t="shared" si="17"/>
        <v>0.8728676758801287</v>
      </c>
      <c r="W40" s="2"/>
      <c r="X40" s="2">
        <f t="shared" si="18"/>
        <v>-1349196.83</v>
      </c>
      <c r="Y40" s="2"/>
      <c r="Z40" s="19">
        <f t="shared" si="19"/>
        <v>-1</v>
      </c>
    </row>
    <row r="41" spans="1:26" s="24" customFormat="1" hidden="1" outlineLevel="1" x14ac:dyDescent="0.25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2"/>
        <v>0</v>
      </c>
      <c r="G41" s="2"/>
      <c r="H41" s="2">
        <v>6331.95</v>
      </c>
      <c r="I41" s="2"/>
      <c r="J41" s="19">
        <f t="shared" si="13"/>
        <v>0.18523551307599864</v>
      </c>
      <c r="K41" s="2"/>
      <c r="L41" s="2">
        <f t="shared" si="14"/>
        <v>-6331.95</v>
      </c>
      <c r="M41" s="2"/>
      <c r="N41" s="19">
        <f t="shared" si="15"/>
        <v>-1</v>
      </c>
      <c r="O41" s="11"/>
      <c r="P41" s="2">
        <v>0</v>
      </c>
      <c r="Q41" s="2"/>
      <c r="R41" s="19">
        <f t="shared" si="16"/>
        <v>0</v>
      </c>
      <c r="S41" s="2"/>
      <c r="T41" s="2">
        <v>303063.33</v>
      </c>
      <c r="U41" s="2"/>
      <c r="V41" s="19">
        <f t="shared" si="17"/>
        <v>0.19606789655857143</v>
      </c>
      <c r="W41" s="2"/>
      <c r="X41" s="2">
        <f t="shared" si="18"/>
        <v>-303063.33</v>
      </c>
      <c r="Y41" s="2"/>
      <c r="Z41" s="19">
        <f t="shared" si="19"/>
        <v>-1</v>
      </c>
    </row>
    <row r="42" spans="1:26" s="24" customFormat="1" hidden="1" outlineLevel="1" x14ac:dyDescent="0.25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2"/>
        <v>0</v>
      </c>
      <c r="G42" s="2"/>
      <c r="H42" s="2">
        <v>10600.69</v>
      </c>
      <c r="I42" s="2"/>
      <c r="J42" s="19">
        <f t="shared" si="13"/>
        <v>0.31011366973990767</v>
      </c>
      <c r="K42" s="2"/>
      <c r="L42" s="2">
        <f t="shared" si="14"/>
        <v>-10600.69</v>
      </c>
      <c r="M42" s="2"/>
      <c r="N42" s="19">
        <f t="shared" si="15"/>
        <v>-1</v>
      </c>
      <c r="O42" s="11"/>
      <c r="P42" s="2"/>
      <c r="Q42" s="2"/>
      <c r="R42" s="19">
        <f t="shared" si="16"/>
        <v>0</v>
      </c>
      <c r="S42" s="2"/>
      <c r="T42" s="2">
        <v>-485.41</v>
      </c>
      <c r="U42" s="2"/>
      <c r="V42" s="19">
        <f t="shared" si="17"/>
        <v>-3.1403772164879251E-4</v>
      </c>
      <c r="W42" s="2"/>
      <c r="X42" s="2">
        <f t="shared" si="18"/>
        <v>485.41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2"/>
        <v>0</v>
      </c>
      <c r="G43" s="2"/>
      <c r="H43" s="2">
        <v>12903.46</v>
      </c>
      <c r="I43" s="2"/>
      <c r="J43" s="19">
        <f t="shared" si="13"/>
        <v>0.3774791388996479</v>
      </c>
      <c r="K43" s="2"/>
      <c r="L43" s="2">
        <f t="shared" si="14"/>
        <v>-12903.46</v>
      </c>
      <c r="M43" s="2"/>
      <c r="N43" s="19">
        <f t="shared" si="15"/>
        <v>-1</v>
      </c>
      <c r="O43" s="11"/>
      <c r="P43" s="2">
        <v>0</v>
      </c>
      <c r="Q43" s="2"/>
      <c r="R43" s="19">
        <f t="shared" si="16"/>
        <v>0</v>
      </c>
      <c r="S43" s="2"/>
      <c r="T43" s="2">
        <v>195519.53</v>
      </c>
      <c r="U43" s="2"/>
      <c r="V43" s="19">
        <f t="shared" si="17"/>
        <v>0.12649205360219759</v>
      </c>
      <c r="W43" s="2"/>
      <c r="X43" s="2">
        <f t="shared" si="18"/>
        <v>-195519.53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2"/>
        <v>0</v>
      </c>
      <c r="G44" s="2"/>
      <c r="H44" s="2">
        <v>67.17</v>
      </c>
      <c r="I44" s="2"/>
      <c r="J44" s="19">
        <f t="shared" si="13"/>
        <v>1.9649980516767869E-3</v>
      </c>
      <c r="K44" s="2"/>
      <c r="L44" s="2">
        <f t="shared" si="14"/>
        <v>-67.17</v>
      </c>
      <c r="M44" s="2"/>
      <c r="N44" s="19">
        <f t="shared" si="15"/>
        <v>-1</v>
      </c>
      <c r="O44" s="11"/>
      <c r="P44" s="2"/>
      <c r="Q44" s="2"/>
      <c r="R44" s="19">
        <f t="shared" si="16"/>
        <v>0</v>
      </c>
      <c r="S44" s="2"/>
      <c r="T44" s="2">
        <v>67.17</v>
      </c>
      <c r="U44" s="2"/>
      <c r="V44" s="19">
        <f t="shared" si="17"/>
        <v>4.3455869807275078E-5</v>
      </c>
      <c r="W44" s="2"/>
      <c r="X44" s="2">
        <f t="shared" si="18"/>
        <v>-67.17</v>
      </c>
      <c r="Y44" s="2"/>
      <c r="Z44" s="19">
        <f t="shared" si="19"/>
        <v>-1</v>
      </c>
    </row>
    <row r="45" spans="1:26" s="24" customFormat="1" hidden="1" outlineLevel="1" x14ac:dyDescent="0.25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2"/>
        <v>0</v>
      </c>
      <c r="G45" s="2"/>
      <c r="H45" s="2">
        <v>1384.46</v>
      </c>
      <c r="I45" s="2"/>
      <c r="J45" s="19">
        <f t="shared" si="13"/>
        <v>4.0501134474087305E-2</v>
      </c>
      <c r="K45" s="2"/>
      <c r="L45" s="2">
        <f t="shared" si="14"/>
        <v>-1384.46</v>
      </c>
      <c r="M45" s="2"/>
      <c r="N45" s="19">
        <f t="shared" si="15"/>
        <v>-1</v>
      </c>
      <c r="O45" s="11"/>
      <c r="P45" s="2"/>
      <c r="Q45" s="2"/>
      <c r="R45" s="19">
        <f t="shared" si="16"/>
        <v>0</v>
      </c>
      <c r="S45" s="2"/>
      <c r="T45" s="2">
        <v>1483.64</v>
      </c>
      <c r="U45" s="2"/>
      <c r="V45" s="19">
        <f t="shared" si="17"/>
        <v>9.5984616169220778E-4</v>
      </c>
      <c r="W45" s="2"/>
      <c r="X45" s="2">
        <f t="shared" si="18"/>
        <v>-1483.64</v>
      </c>
      <c r="Y45" s="2"/>
      <c r="Z45" s="19">
        <f t="shared" si="19"/>
        <v>-1</v>
      </c>
    </row>
    <row r="46" spans="1:26" s="24" customFormat="1" hidden="1" outlineLevel="1" x14ac:dyDescent="0.25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2"/>
        <v>0</v>
      </c>
      <c r="G46" s="2"/>
      <c r="H46" s="2">
        <v>102.92</v>
      </c>
      <c r="I46" s="2"/>
      <c r="J46" s="19">
        <f t="shared" si="13"/>
        <v>3.0108322090006685E-3</v>
      </c>
      <c r="K46" s="2"/>
      <c r="L46" s="2">
        <f t="shared" si="14"/>
        <v>-102.92</v>
      </c>
      <c r="M46" s="2"/>
      <c r="N46" s="19">
        <f t="shared" si="15"/>
        <v>-1</v>
      </c>
      <c r="O46" s="11"/>
      <c r="P46" s="2"/>
      <c r="Q46" s="2"/>
      <c r="R46" s="19">
        <f t="shared" si="16"/>
        <v>0</v>
      </c>
      <c r="S46" s="2"/>
      <c r="T46" s="2">
        <v>90.41</v>
      </c>
      <c r="U46" s="2"/>
      <c r="V46" s="19">
        <f t="shared" si="17"/>
        <v>5.8491070258683033E-5</v>
      </c>
      <c r="W46" s="2"/>
      <c r="X46" s="2">
        <f t="shared" si="18"/>
        <v>-90.41</v>
      </c>
      <c r="Y46" s="2"/>
      <c r="Z46" s="19">
        <f t="shared" si="19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-290158.21999999997</v>
      </c>
      <c r="E47" s="2"/>
      <c r="F47" s="19">
        <f t="shared" si="12"/>
        <v>-7.7133634256305568</v>
      </c>
      <c r="G47" s="2"/>
      <c r="H47" s="2">
        <v>-111446.85</v>
      </c>
      <c r="I47" s="2"/>
      <c r="J47" s="19">
        <f t="shared" si="13"/>
        <v>-3.2602775512210083</v>
      </c>
      <c r="K47" s="2"/>
      <c r="L47" s="2">
        <f t="shared" si="14"/>
        <v>-178711.36999999997</v>
      </c>
      <c r="M47" s="2"/>
      <c r="N47" s="19">
        <f t="shared" si="15"/>
        <v>1.6035569421657045</v>
      </c>
      <c r="O47" s="11"/>
      <c r="P47" s="2">
        <v>-1326529.8600000001</v>
      </c>
      <c r="Q47" s="2"/>
      <c r="R47" s="19">
        <f t="shared" si="16"/>
        <v>-0.98717788604614343</v>
      </c>
      <c r="S47" s="2"/>
      <c r="T47" s="2">
        <v>-1549974.48</v>
      </c>
      <c r="U47" s="2"/>
      <c r="V47" s="19">
        <f t="shared" si="17"/>
        <v>-1.0027614888712055</v>
      </c>
      <c r="W47" s="2"/>
      <c r="X47" s="2">
        <f t="shared" si="18"/>
        <v>223444.61999999988</v>
      </c>
      <c r="Y47" s="2"/>
      <c r="Z47" s="19">
        <f t="shared" si="19"/>
        <v>-0.14416019288265952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21877.63</v>
      </c>
      <c r="E48" s="2"/>
      <c r="F48" s="19">
        <f t="shared" si="12"/>
        <v>0.58157963293777393</v>
      </c>
      <c r="G48" s="2"/>
      <c r="H48" s="2">
        <v>24962</v>
      </c>
      <c r="I48" s="2"/>
      <c r="J48" s="19">
        <f t="shared" si="13"/>
        <v>0.73024090168164291</v>
      </c>
      <c r="K48" s="2"/>
      <c r="L48" s="2">
        <f t="shared" si="14"/>
        <v>-3084.369999999999</v>
      </c>
      <c r="M48" s="2"/>
      <c r="N48" s="19">
        <f t="shared" si="15"/>
        <v>-0.12356261517506606</v>
      </c>
      <c r="O48" s="11"/>
      <c r="P48" s="2">
        <v>843417.87</v>
      </c>
      <c r="Q48" s="2"/>
      <c r="R48" s="19">
        <f t="shared" si="16"/>
        <v>0.62765527943723853</v>
      </c>
      <c r="S48" s="2"/>
      <c r="T48" s="2">
        <v>762931</v>
      </c>
      <c r="U48" s="2"/>
      <c r="V48" s="19">
        <f t="shared" si="17"/>
        <v>0.4935809171941965</v>
      </c>
      <c r="W48" s="2"/>
      <c r="X48" s="2">
        <f t="shared" si="18"/>
        <v>80486.87</v>
      </c>
      <c r="Y48" s="2"/>
      <c r="Z48" s="19">
        <f t="shared" si="19"/>
        <v>0.10549691911850481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>
        <v>16313.25</v>
      </c>
      <c r="E49" s="2"/>
      <c r="F49" s="19">
        <f t="shared" si="12"/>
        <v>0.43366004210794956</v>
      </c>
      <c r="G49" s="2"/>
      <c r="H49" s="2"/>
      <c r="I49" s="2"/>
      <c r="J49" s="19">
        <f t="shared" si="13"/>
        <v>0</v>
      </c>
      <c r="K49" s="2"/>
      <c r="L49" s="2">
        <f t="shared" si="14"/>
        <v>16313.25</v>
      </c>
      <c r="M49" s="2"/>
      <c r="N49" s="19">
        <f t="shared" si="15"/>
        <v>0</v>
      </c>
      <c r="O49" s="11"/>
      <c r="P49" s="2">
        <v>36138.050000000003</v>
      </c>
      <c r="Q49" s="2"/>
      <c r="R49" s="19">
        <f t="shared" si="16"/>
        <v>2.6893238426483543E-2</v>
      </c>
      <c r="S49" s="2"/>
      <c r="T49" s="2">
        <v>0</v>
      </c>
      <c r="U49" s="2"/>
      <c r="V49" s="19">
        <f t="shared" si="17"/>
        <v>0</v>
      </c>
      <c r="W49" s="2"/>
      <c r="X49" s="2">
        <f t="shared" si="18"/>
        <v>36138.050000000003</v>
      </c>
      <c r="Y49" s="2"/>
      <c r="Z49" s="19">
        <f t="shared" si="19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0</v>
      </c>
      <c r="E50" s="2"/>
      <c r="F50" s="19">
        <f t="shared" si="12"/>
        <v>0</v>
      </c>
      <c r="G50" s="2"/>
      <c r="H50" s="2">
        <v>23295.74</v>
      </c>
      <c r="I50" s="2"/>
      <c r="J50" s="19">
        <f t="shared" si="13"/>
        <v>0.6814959611786362</v>
      </c>
      <c r="K50" s="2"/>
      <c r="L50" s="2">
        <f t="shared" si="14"/>
        <v>-23295.74</v>
      </c>
      <c r="M50" s="2"/>
      <c r="N50" s="19">
        <f t="shared" si="15"/>
        <v>-1</v>
      </c>
      <c r="O50" s="11"/>
      <c r="P50" s="2">
        <v>0</v>
      </c>
      <c r="Q50" s="2"/>
      <c r="R50" s="19">
        <f t="shared" si="16"/>
        <v>0</v>
      </c>
      <c r="S50" s="2"/>
      <c r="T50" s="2">
        <v>34058.620000000003</v>
      </c>
      <c r="U50" s="2"/>
      <c r="V50" s="19">
        <f t="shared" si="17"/>
        <v>2.2034345042957496E-2</v>
      </c>
      <c r="W50" s="2"/>
      <c r="X50" s="2">
        <f t="shared" si="18"/>
        <v>-34058.620000000003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/>
      <c r="E51" s="2"/>
      <c r="F51" s="19">
        <f t="shared" si="12"/>
        <v>0</v>
      </c>
      <c r="G51" s="2"/>
      <c r="H51" s="2">
        <v>2233.9</v>
      </c>
      <c r="I51" s="2"/>
      <c r="J51" s="19">
        <f t="shared" si="13"/>
        <v>6.5350739134148794E-2</v>
      </c>
      <c r="K51" s="2"/>
      <c r="L51" s="2">
        <f t="shared" si="14"/>
        <v>-2233.9</v>
      </c>
      <c r="M51" s="2"/>
      <c r="N51" s="19">
        <f t="shared" si="15"/>
        <v>-1</v>
      </c>
      <c r="O51" s="11"/>
      <c r="P51" s="2">
        <v>0</v>
      </c>
      <c r="Q51" s="2"/>
      <c r="R51" s="19">
        <f t="shared" si="16"/>
        <v>0</v>
      </c>
      <c r="S51" s="2"/>
      <c r="T51" s="2">
        <v>10744.72</v>
      </c>
      <c r="U51" s="2"/>
      <c r="V51" s="19">
        <f t="shared" si="17"/>
        <v>6.9513347243654105E-3</v>
      </c>
      <c r="W51" s="2"/>
      <c r="X51" s="2">
        <f t="shared" si="18"/>
        <v>-10744.72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"5504", " - ", "FREIGHT-IN-DIGITAL TEXT")</f>
        <v xml:space="preserve">          5504 - FREIGHT-IN-DIGITAL TEXT</v>
      </c>
      <c r="C52" s="11"/>
      <c r="D52" s="2"/>
      <c r="E52" s="2"/>
      <c r="F52" s="19">
        <f t="shared" si="12"/>
        <v>0</v>
      </c>
      <c r="G52" s="2"/>
      <c r="H52" s="2">
        <v>10.99</v>
      </c>
      <c r="I52" s="2"/>
      <c r="J52" s="19">
        <f t="shared" si="13"/>
        <v>3.2150258430739743E-4</v>
      </c>
      <c r="K52" s="2"/>
      <c r="L52" s="2">
        <f t="shared" si="14"/>
        <v>-10.99</v>
      </c>
      <c r="M52" s="2"/>
      <c r="N52" s="19">
        <f t="shared" si="15"/>
        <v>-1</v>
      </c>
      <c r="O52" s="11"/>
      <c r="P52" s="2"/>
      <c r="Q52" s="2"/>
      <c r="R52" s="19">
        <f t="shared" si="16"/>
        <v>0</v>
      </c>
      <c r="S52" s="2"/>
      <c r="T52" s="2">
        <v>21.98</v>
      </c>
      <c r="U52" s="2"/>
      <c r="V52" s="19">
        <f t="shared" si="17"/>
        <v>1.4220038981150902E-5</v>
      </c>
      <c r="W52" s="2"/>
      <c r="X52" s="2">
        <f t="shared" si="18"/>
        <v>-21.98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"5518", " - ", "FREIGHT-IN-STUDY GUIDES")</f>
        <v xml:space="preserve">          5518 - FREIGHT-IN-STUDY GUIDES</v>
      </c>
      <c r="C53" s="11"/>
      <c r="D53" s="2"/>
      <c r="E53" s="2"/>
      <c r="F53" s="19">
        <f t="shared" si="12"/>
        <v>0</v>
      </c>
      <c r="G53" s="2"/>
      <c r="H53" s="2"/>
      <c r="I53" s="2"/>
      <c r="J53" s="19">
        <f t="shared" si="13"/>
        <v>0</v>
      </c>
      <c r="K53" s="2"/>
      <c r="L53" s="2">
        <f t="shared" si="14"/>
        <v>0</v>
      </c>
      <c r="M53" s="2"/>
      <c r="N53" s="19">
        <f t="shared" si="15"/>
        <v>0</v>
      </c>
      <c r="O53" s="11"/>
      <c r="P53" s="2">
        <v>0</v>
      </c>
      <c r="Q53" s="2"/>
      <c r="R53" s="19">
        <f t="shared" si="16"/>
        <v>0</v>
      </c>
      <c r="S53" s="2"/>
      <c r="T53" s="2"/>
      <c r="U53" s="2"/>
      <c r="V53" s="19">
        <f t="shared" si="17"/>
        <v>0</v>
      </c>
      <c r="W53" s="2"/>
      <c r="X53" s="2">
        <f t="shared" si="18"/>
        <v>0</v>
      </c>
      <c r="Y53" s="2"/>
      <c r="Z53" s="19">
        <f t="shared" si="19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107</v>
      </c>
      <c r="C55" s="26"/>
      <c r="D55" s="22">
        <f>D12-D38</f>
        <v>13295.629999999965</v>
      </c>
      <c r="E55" s="13"/>
      <c r="F55" s="20">
        <f>IF(D$12=0,0,D55/D$12)</f>
        <v>0.35344174003657775</v>
      </c>
      <c r="G55" s="13"/>
      <c r="H55" s="22">
        <f>H12-H38</f>
        <v>7961.7400000000125</v>
      </c>
      <c r="I55" s="13"/>
      <c r="J55" s="20">
        <f>IF(H$12=0,0,H55/H$12)</f>
        <v>0.23291355646802389</v>
      </c>
      <c r="K55" s="15"/>
      <c r="L55" s="22">
        <f>+D55-H55</f>
        <v>5333.8899999999521</v>
      </c>
      <c r="M55" s="15"/>
      <c r="N55" s="20">
        <f>IF(H55=0,0,L55/H55)</f>
        <v>0.66994023919393797</v>
      </c>
      <c r="O55" s="25"/>
      <c r="P55" s="22">
        <f>P12-P38</f>
        <v>246923.74000000046</v>
      </c>
      <c r="Q55" s="13"/>
      <c r="R55" s="20">
        <f>IF(P$12=0,0,P55/P$12)</f>
        <v>0.1837558753994486</v>
      </c>
      <c r="S55" s="13"/>
      <c r="T55" s="22">
        <f>T12-T38</f>
        <v>438988.68999999948</v>
      </c>
      <c r="U55" s="13"/>
      <c r="V55" s="20">
        <f>IF(T$12=0,0,T55/T$12)</f>
        <v>0.28400529044969802</v>
      </c>
      <c r="W55" s="15"/>
      <c r="X55" s="22">
        <f>+P55-T55</f>
        <v>-192064.94999999902</v>
      </c>
      <c r="Y55" s="15"/>
      <c r="Z55" s="20">
        <f>IF(T55=0,0,X55/T55)</f>
        <v>-0.43751685265513163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5" t="s">
        <v>294</v>
      </c>
      <c r="C57" s="10"/>
      <c r="D57" s="21">
        <f>SUM(OSRRefD22x_0)</f>
        <v>47453.490000000005</v>
      </c>
      <c r="E57" s="21"/>
      <c r="F57" s="36">
        <f t="shared" ref="F57:F67" si="20">IF(D$12=0,0,D57/D$12)</f>
        <v>1.2614704287354859</v>
      </c>
      <c r="G57" s="21"/>
      <c r="H57" s="21">
        <f>SUM(OSRRefH22x_0)</f>
        <v>41286.30999999999</v>
      </c>
      <c r="I57" s="21"/>
      <c r="J57" s="36">
        <f t="shared" ref="J57:J67" si="21">IF(H$12=0,0,H57/H$12)</f>
        <v>1.2077939364437074</v>
      </c>
      <c r="K57" s="4"/>
      <c r="L57" s="21">
        <f t="shared" ref="L57:L67" si="22">+D57-H57</f>
        <v>6167.1800000000148</v>
      </c>
      <c r="M57" s="4"/>
      <c r="N57" s="36">
        <f t="shared" ref="N57:N67" si="23">IF(H57=0,0,L57/H57)</f>
        <v>0.14937590692895578</v>
      </c>
      <c r="O57" s="10"/>
      <c r="P57" s="21">
        <f>SUM(OSRRefP22x_0)</f>
        <v>192347.34</v>
      </c>
      <c r="Q57" s="21"/>
      <c r="R57" s="36">
        <f t="shared" ref="R57:R67" si="24">IF(P$12=0,0,P57/P$12)</f>
        <v>0.14314117323208903</v>
      </c>
      <c r="S57" s="21"/>
      <c r="T57" s="21">
        <f>SUM(OSRRefT22x_0)</f>
        <v>169717.31999999998</v>
      </c>
      <c r="U57" s="21"/>
      <c r="V57" s="36">
        <f t="shared" ref="V57:V67" si="25">IF(T$12=0,0,T57/T$12)</f>
        <v>0.1097992223010219</v>
      </c>
      <c r="W57" s="4"/>
      <c r="X57" s="21">
        <f t="shared" ref="X57:X67" si="26">+P57-T57</f>
        <v>22630.020000000019</v>
      </c>
      <c r="Y57" s="4"/>
      <c r="Z57" s="36">
        <f t="shared" ref="Z57:Z67" si="27">IF(T57=0,0,X57/T57)</f>
        <v>0.13333948473850532</v>
      </c>
    </row>
    <row r="58" spans="1:26" s="28" customFormat="1" outlineLevel="1" collapsed="1" x14ac:dyDescent="0.25">
      <c r="A58" s="27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SUM(OSRRefD22_0x_0)</f>
        <v>15715.130000000001</v>
      </c>
      <c r="E58" s="1"/>
      <c r="F58" s="5">
        <f t="shared" si="20"/>
        <v>0.41776003785462135</v>
      </c>
      <c r="G58" s="1"/>
      <c r="H58" s="1">
        <f>SUM(OSRRefH22_0x_0)</f>
        <v>13021.619999999999</v>
      </c>
      <c r="I58" s="1"/>
      <c r="J58" s="5">
        <f t="shared" si="21"/>
        <v>0.38093580362774271</v>
      </c>
      <c r="K58" s="1"/>
      <c r="L58" s="1">
        <f t="shared" si="22"/>
        <v>2693.510000000002</v>
      </c>
      <c r="M58" s="1"/>
      <c r="N58" s="5">
        <f t="shared" si="23"/>
        <v>0.20684907100652625</v>
      </c>
      <c r="O58" s="14"/>
      <c r="P58" s="1">
        <f>SUM(OSRRefP22_0x_0)</f>
        <v>51937.590000000004</v>
      </c>
      <c r="Q58" s="1"/>
      <c r="R58" s="5">
        <f t="shared" si="24"/>
        <v>3.8650950761508922E-2</v>
      </c>
      <c r="S58" s="1"/>
      <c r="T58" s="1">
        <f>SUM(OSRRefT22_0x_0)</f>
        <v>45612.71</v>
      </c>
      <c r="U58" s="1"/>
      <c r="V58" s="5">
        <f t="shared" si="25"/>
        <v>2.9509304560324457E-2</v>
      </c>
      <c r="W58" s="1"/>
      <c r="X58" s="1">
        <f t="shared" si="26"/>
        <v>6324.8800000000047</v>
      </c>
      <c r="Y58" s="1"/>
      <c r="Z58" s="5">
        <f t="shared" si="27"/>
        <v>0.13866485898338435</v>
      </c>
    </row>
    <row r="59" spans="1:26" s="24" customFormat="1" hidden="1" outlineLevel="2" x14ac:dyDescent="0.25">
      <c r="A59" s="29"/>
      <c r="B59" s="11" t="str">
        <f>CONCATENATE("          ", "6111", " - ", "F.I.C.A.")</f>
        <v xml:space="preserve">          6111 - F.I.C.A.</v>
      </c>
      <c r="C59" s="11"/>
      <c r="D59" s="6">
        <v>2647.68</v>
      </c>
      <c r="E59" s="2"/>
      <c r="F59" s="7">
        <f t="shared" si="20"/>
        <v>7.0384075539109359E-2</v>
      </c>
      <c r="G59" s="2"/>
      <c r="H59" s="6">
        <v>3122.76</v>
      </c>
      <c r="I59" s="2"/>
      <c r="J59" s="7">
        <f t="shared" si="21"/>
        <v>9.1353540506985312E-2</v>
      </c>
      <c r="K59" s="2"/>
      <c r="L59" s="6">
        <f t="shared" si="22"/>
        <v>-475.08000000000038</v>
      </c>
      <c r="M59" s="2"/>
      <c r="N59" s="7">
        <f t="shared" si="23"/>
        <v>-0.15213465011720412</v>
      </c>
      <c r="O59" s="11"/>
      <c r="P59" s="6">
        <v>9059.2000000000007</v>
      </c>
      <c r="Q59" s="2"/>
      <c r="R59" s="7">
        <f t="shared" si="24"/>
        <v>6.7416815670242229E-3</v>
      </c>
      <c r="S59" s="2"/>
      <c r="T59" s="6">
        <v>9222.64</v>
      </c>
      <c r="U59" s="2"/>
      <c r="V59" s="7">
        <f t="shared" si="25"/>
        <v>5.9666196682948841E-3</v>
      </c>
      <c r="W59" s="2"/>
      <c r="X59" s="6">
        <f t="shared" si="26"/>
        <v>-163.43999999999869</v>
      </c>
      <c r="Y59" s="2"/>
      <c r="Z59" s="7">
        <f t="shared" si="27"/>
        <v>-1.7721606828413415E-2</v>
      </c>
    </row>
    <row r="60" spans="1:26" s="24" customFormat="1" hidden="1" outlineLevel="2" x14ac:dyDescent="0.25">
      <c r="A60" s="29"/>
      <c r="B60" s="11" t="str">
        <f>CONCATENATE("          ", "6112", " - ", "COMPENSATION INSURANCE")</f>
        <v xml:space="preserve">          6112 - COMPENSATION INSURANCE</v>
      </c>
      <c r="C60" s="11"/>
      <c r="D60" s="6">
        <v>519.37</v>
      </c>
      <c r="E60" s="2"/>
      <c r="F60" s="7">
        <f t="shared" si="20"/>
        <v>1.3806569265450219E-2</v>
      </c>
      <c r="G60" s="2"/>
      <c r="H60" s="6">
        <v>89.88</v>
      </c>
      <c r="I60" s="2"/>
      <c r="J60" s="7">
        <f t="shared" si="21"/>
        <v>2.6293587149726007E-3</v>
      </c>
      <c r="K60" s="2"/>
      <c r="L60" s="6">
        <f t="shared" si="22"/>
        <v>429.49</v>
      </c>
      <c r="M60" s="2"/>
      <c r="N60" s="7">
        <f t="shared" si="23"/>
        <v>4.7784824210057861</v>
      </c>
      <c r="O60" s="11"/>
      <c r="P60" s="6">
        <v>1838.47</v>
      </c>
      <c r="Q60" s="2"/>
      <c r="R60" s="7">
        <f t="shared" si="24"/>
        <v>1.3681538447685251E-3</v>
      </c>
      <c r="S60" s="2"/>
      <c r="T60" s="6">
        <v>523.16999999999996</v>
      </c>
      <c r="U60" s="2"/>
      <c r="V60" s="7">
        <f t="shared" si="25"/>
        <v>3.3846668761459129E-4</v>
      </c>
      <c r="W60" s="2"/>
      <c r="X60" s="6">
        <f t="shared" si="26"/>
        <v>1315.3000000000002</v>
      </c>
      <c r="Y60" s="2"/>
      <c r="Z60" s="7">
        <f t="shared" si="27"/>
        <v>2.5140967563124801</v>
      </c>
    </row>
    <row r="61" spans="1:26" s="24" customFormat="1" hidden="1" outlineLevel="2" x14ac:dyDescent="0.25">
      <c r="A61" s="29"/>
      <c r="B61" s="11" t="str">
        <f>CONCATENATE("          ", "6113", " - ", "GROUP INSURANCE")</f>
        <v xml:space="preserve">          6113 - GROUP INSURANCE</v>
      </c>
      <c r="C61" s="11"/>
      <c r="D61" s="6">
        <v>4593.8599999999997</v>
      </c>
      <c r="E61" s="2"/>
      <c r="F61" s="7">
        <f t="shared" si="20"/>
        <v>0.12211996512270853</v>
      </c>
      <c r="G61" s="2"/>
      <c r="H61" s="6">
        <v>4248.21</v>
      </c>
      <c r="I61" s="2"/>
      <c r="J61" s="7">
        <f t="shared" si="21"/>
        <v>0.1242775699436332</v>
      </c>
      <c r="K61" s="2"/>
      <c r="L61" s="6">
        <f t="shared" si="22"/>
        <v>345.64999999999964</v>
      </c>
      <c r="M61" s="2"/>
      <c r="N61" s="7">
        <f t="shared" si="23"/>
        <v>8.1363680232380137E-2</v>
      </c>
      <c r="O61" s="11"/>
      <c r="P61" s="6">
        <v>18431.689999999999</v>
      </c>
      <c r="Q61" s="2"/>
      <c r="R61" s="7">
        <f t="shared" si="24"/>
        <v>1.3716507497583085E-2</v>
      </c>
      <c r="S61" s="2"/>
      <c r="T61" s="6">
        <v>16858.63</v>
      </c>
      <c r="U61" s="2"/>
      <c r="V61" s="7">
        <f t="shared" si="25"/>
        <v>1.0906750489936308E-2</v>
      </c>
      <c r="W61" s="2"/>
      <c r="X61" s="6">
        <f t="shared" si="26"/>
        <v>1573.0599999999977</v>
      </c>
      <c r="Y61" s="2"/>
      <c r="Z61" s="7">
        <f t="shared" si="27"/>
        <v>9.3308886902434995E-2</v>
      </c>
    </row>
    <row r="62" spans="1:26" s="24" customFormat="1" hidden="1" outlineLevel="2" x14ac:dyDescent="0.25">
      <c r="A62" s="29"/>
      <c r="B62" s="11" t="str">
        <f>CONCATENATE("          ", "6114", " - ", "STATE UNEMPLOYMENT INSURANCE")</f>
        <v xml:space="preserve">          6114 - STATE UNEMPLOYMENT INSURANCE</v>
      </c>
      <c r="C62" s="11"/>
      <c r="D62" s="6">
        <v>103.04</v>
      </c>
      <c r="E62" s="2"/>
      <c r="F62" s="7">
        <f t="shared" si="20"/>
        <v>2.739143379694612E-3</v>
      </c>
      <c r="G62" s="2"/>
      <c r="H62" s="6">
        <v>60.94</v>
      </c>
      <c r="I62" s="2"/>
      <c r="J62" s="7">
        <f t="shared" si="21"/>
        <v>1.7827449943305549E-3</v>
      </c>
      <c r="K62" s="2"/>
      <c r="L62" s="6">
        <f t="shared" si="22"/>
        <v>42.100000000000009</v>
      </c>
      <c r="M62" s="2"/>
      <c r="N62" s="7">
        <f t="shared" si="23"/>
        <v>0.69084345257630475</v>
      </c>
      <c r="O62" s="11"/>
      <c r="P62" s="6">
        <v>364.49</v>
      </c>
      <c r="Q62" s="2"/>
      <c r="R62" s="7">
        <f t="shared" si="24"/>
        <v>2.7124641407239697E-4</v>
      </c>
      <c r="S62" s="2"/>
      <c r="T62" s="6">
        <v>269.16000000000003</v>
      </c>
      <c r="U62" s="2"/>
      <c r="V62" s="7">
        <f t="shared" si="25"/>
        <v>1.7413401693205539E-4</v>
      </c>
      <c r="W62" s="2"/>
      <c r="X62" s="6">
        <f t="shared" si="26"/>
        <v>95.329999999999984</v>
      </c>
      <c r="Y62" s="2"/>
      <c r="Z62" s="7">
        <f t="shared" si="27"/>
        <v>0.35417595482241038</v>
      </c>
    </row>
    <row r="63" spans="1:26" s="24" customFormat="1" hidden="1" outlineLevel="2" x14ac:dyDescent="0.25">
      <c r="A63" s="29"/>
      <c r="B63" s="11" t="str">
        <f>CONCATENATE("          ", "6115", " - ", "P.E.R.S.")</f>
        <v xml:space="preserve">          6115 - P.E.R.S.</v>
      </c>
      <c r="C63" s="11"/>
      <c r="D63" s="6">
        <v>2410.65</v>
      </c>
      <c r="E63" s="2"/>
      <c r="F63" s="7">
        <f t="shared" si="20"/>
        <v>6.4083035600357302E-2</v>
      </c>
      <c r="G63" s="2"/>
      <c r="H63" s="6">
        <v>1480.2</v>
      </c>
      <c r="I63" s="2"/>
      <c r="J63" s="7">
        <f t="shared" si="21"/>
        <v>4.3301922228554113E-2</v>
      </c>
      <c r="K63" s="2"/>
      <c r="L63" s="6">
        <f t="shared" si="22"/>
        <v>930.45</v>
      </c>
      <c r="M63" s="2"/>
      <c r="N63" s="7">
        <f t="shared" si="23"/>
        <v>0.62859748682610461</v>
      </c>
      <c r="O63" s="11"/>
      <c r="P63" s="6">
        <v>7231.95</v>
      </c>
      <c r="Q63" s="2"/>
      <c r="R63" s="7">
        <f t="shared" si="24"/>
        <v>5.3818774294243227E-3</v>
      </c>
      <c r="S63" s="2"/>
      <c r="T63" s="6">
        <v>6660.92</v>
      </c>
      <c r="U63" s="2"/>
      <c r="V63" s="7">
        <f t="shared" si="25"/>
        <v>4.3093058257655898E-3</v>
      </c>
      <c r="W63" s="2"/>
      <c r="X63" s="6">
        <f t="shared" si="26"/>
        <v>571.02999999999975</v>
      </c>
      <c r="Y63" s="2"/>
      <c r="Z63" s="7">
        <f t="shared" si="27"/>
        <v>8.5728397878971629E-2</v>
      </c>
    </row>
    <row r="64" spans="1:26" s="24" customFormat="1" hidden="1" outlineLevel="2" x14ac:dyDescent="0.25">
      <c r="A64" s="29"/>
      <c r="B64" s="11" t="str">
        <f>CONCATENATE("          ", "6117", " - ", "RETIREMENT STAFF HOURLY")</f>
        <v xml:space="preserve">          6117 - RETIREMENT STAFF HOURLY</v>
      </c>
      <c r="C64" s="11"/>
      <c r="D64" s="6">
        <v>271.36</v>
      </c>
      <c r="E64" s="2"/>
      <c r="F64" s="7">
        <f t="shared" si="20"/>
        <v>7.2136446769597226E-3</v>
      </c>
      <c r="G64" s="2"/>
      <c r="H64" s="6">
        <v>222.97</v>
      </c>
      <c r="I64" s="2"/>
      <c r="J64" s="7">
        <f t="shared" si="21"/>
        <v>6.522787190447717E-3</v>
      </c>
      <c r="K64" s="2"/>
      <c r="L64" s="6">
        <f t="shared" si="22"/>
        <v>48.390000000000015</v>
      </c>
      <c r="M64" s="2"/>
      <c r="N64" s="7">
        <f t="shared" si="23"/>
        <v>0.21702471184464284</v>
      </c>
      <c r="O64" s="11"/>
      <c r="P64" s="6">
        <v>1248.25</v>
      </c>
      <c r="Q64" s="2"/>
      <c r="R64" s="7">
        <f t="shared" si="24"/>
        <v>9.2892352702644669E-4</v>
      </c>
      <c r="S64" s="2"/>
      <c r="T64" s="6">
        <v>1060.74</v>
      </c>
      <c r="U64" s="2"/>
      <c r="V64" s="7">
        <f t="shared" si="25"/>
        <v>6.8624950631783477E-4</v>
      </c>
      <c r="W64" s="2"/>
      <c r="X64" s="6">
        <f t="shared" si="26"/>
        <v>187.51</v>
      </c>
      <c r="Y64" s="2"/>
      <c r="Z64" s="7">
        <f t="shared" si="27"/>
        <v>0.17677281897543223</v>
      </c>
    </row>
    <row r="65" spans="1:26" s="24" customFormat="1" hidden="1" outlineLevel="2" x14ac:dyDescent="0.25">
      <c r="A65" s="29"/>
      <c r="B65" s="11" t="str">
        <f>CONCATENATE("          ", "6118", " - ", "VACATION")</f>
        <v xml:space="preserve">          6118 - VACATION</v>
      </c>
      <c r="C65" s="11"/>
      <c r="D65" s="6">
        <v>2292.4699999999998</v>
      </c>
      <c r="E65" s="2"/>
      <c r="F65" s="7">
        <f t="shared" si="20"/>
        <v>6.094142103696143E-2</v>
      </c>
      <c r="G65" s="2"/>
      <c r="H65" s="6">
        <v>1853.32</v>
      </c>
      <c r="I65" s="2"/>
      <c r="J65" s="7">
        <f t="shared" si="21"/>
        <v>5.4217212879762132E-2</v>
      </c>
      <c r="K65" s="2"/>
      <c r="L65" s="6">
        <f t="shared" si="22"/>
        <v>439.14999999999986</v>
      </c>
      <c r="M65" s="2"/>
      <c r="N65" s="7">
        <f t="shared" si="23"/>
        <v>0.23695314354779523</v>
      </c>
      <c r="O65" s="11"/>
      <c r="P65" s="6">
        <v>6101.24</v>
      </c>
      <c r="Q65" s="2"/>
      <c r="R65" s="7">
        <f t="shared" si="24"/>
        <v>4.5404248988863104E-3</v>
      </c>
      <c r="S65" s="2"/>
      <c r="T65" s="6">
        <v>4884.7</v>
      </c>
      <c r="U65" s="2"/>
      <c r="V65" s="7">
        <f t="shared" si="25"/>
        <v>3.1601739950513109E-3</v>
      </c>
      <c r="W65" s="2"/>
      <c r="X65" s="6">
        <f t="shared" si="26"/>
        <v>1216.54</v>
      </c>
      <c r="Y65" s="2"/>
      <c r="Z65" s="7">
        <f t="shared" si="27"/>
        <v>0.24905111879951686</v>
      </c>
    </row>
    <row r="66" spans="1:26" s="24" customFormat="1" hidden="1" outlineLevel="2" x14ac:dyDescent="0.25">
      <c r="A66" s="29"/>
      <c r="B66" s="11" t="str">
        <f>CONCATENATE("          ", "6119", " - ", "SICK LEAVE")</f>
        <v xml:space="preserve">          6119 - SICK LEAVE</v>
      </c>
      <c r="C66" s="11"/>
      <c r="D66" s="6">
        <v>1607.84</v>
      </c>
      <c r="E66" s="2"/>
      <c r="F66" s="7">
        <f t="shared" si="20"/>
        <v>4.2741695376632222E-2</v>
      </c>
      <c r="G66" s="2"/>
      <c r="H66" s="6">
        <v>1416.9</v>
      </c>
      <c r="I66" s="2"/>
      <c r="J66" s="7">
        <f t="shared" si="21"/>
        <v>4.1450137552789035E-2</v>
      </c>
      <c r="K66" s="2"/>
      <c r="L66" s="6">
        <f t="shared" si="22"/>
        <v>190.93999999999983</v>
      </c>
      <c r="M66" s="2"/>
      <c r="N66" s="7">
        <f t="shared" si="23"/>
        <v>0.1347589808737383</v>
      </c>
      <c r="O66" s="11"/>
      <c r="P66" s="6">
        <v>4823.54</v>
      </c>
      <c r="Q66" s="2"/>
      <c r="R66" s="7">
        <f t="shared" si="24"/>
        <v>3.5895852509939086E-3</v>
      </c>
      <c r="S66" s="2"/>
      <c r="T66" s="6">
        <v>4250.7</v>
      </c>
      <c r="U66" s="2"/>
      <c r="V66" s="7">
        <f t="shared" si="25"/>
        <v>2.7500054457314893E-3</v>
      </c>
      <c r="W66" s="2"/>
      <c r="X66" s="6">
        <f t="shared" si="26"/>
        <v>572.84000000000015</v>
      </c>
      <c r="Y66" s="2"/>
      <c r="Z66" s="7">
        <f t="shared" si="27"/>
        <v>0.13476368598113256</v>
      </c>
    </row>
    <row r="67" spans="1:26" s="24" customFormat="1" hidden="1" outlineLevel="2" x14ac:dyDescent="0.25">
      <c r="A67" s="29"/>
      <c r="B67" s="11" t="str">
        <f>CONCATENATE("          ", "6156", " - ", "EMPLOYEE MEALS")</f>
        <v xml:space="preserve">          6156 - EMPLOYEE MEALS</v>
      </c>
      <c r="C67" s="11"/>
      <c r="D67" s="6">
        <v>1268.8599999999999</v>
      </c>
      <c r="E67" s="2"/>
      <c r="F67" s="7">
        <f t="shared" si="20"/>
        <v>3.3730487856747912E-2</v>
      </c>
      <c r="G67" s="2"/>
      <c r="H67" s="6">
        <v>526.44000000000005</v>
      </c>
      <c r="I67" s="2"/>
      <c r="J67" s="7">
        <f t="shared" si="21"/>
        <v>1.5400529616268092E-2</v>
      </c>
      <c r="K67" s="2"/>
      <c r="L67" s="6">
        <f t="shared" si="22"/>
        <v>742.41999999999985</v>
      </c>
      <c r="M67" s="2"/>
      <c r="N67" s="7">
        <f t="shared" si="23"/>
        <v>1.410265177418129</v>
      </c>
      <c r="O67" s="11"/>
      <c r="P67" s="6">
        <v>2838.76</v>
      </c>
      <c r="Q67" s="2"/>
      <c r="R67" s="7">
        <f t="shared" si="24"/>
        <v>2.1125503317296983E-3</v>
      </c>
      <c r="S67" s="2"/>
      <c r="T67" s="6">
        <v>1882.05</v>
      </c>
      <c r="U67" s="2"/>
      <c r="V67" s="7">
        <f t="shared" si="25"/>
        <v>1.2175989246803937E-3</v>
      </c>
      <c r="W67" s="2"/>
      <c r="X67" s="6">
        <f t="shared" si="26"/>
        <v>956.71000000000026</v>
      </c>
      <c r="Y67" s="2"/>
      <c r="Z67" s="7">
        <f t="shared" si="27"/>
        <v>0.50833399750272323</v>
      </c>
    </row>
    <row r="68" spans="1:26" s="28" customFormat="1" outlineLevel="1" collapsed="1" x14ac:dyDescent="0.25">
      <c r="A68" s="27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25944.329999999998</v>
      </c>
      <c r="E68" s="1"/>
      <c r="F68" s="5">
        <f t="shared" ref="F68:F75" si="28">IF(D$12=0,0,D68/D$12)</f>
        <v>0.6896859448768663</v>
      </c>
      <c r="G68" s="1"/>
      <c r="H68" s="1">
        <f>SUM(OSRRefH22_1x_0)</f>
        <v>26770.510000000002</v>
      </c>
      <c r="I68" s="1"/>
      <c r="J68" s="5">
        <f t="shared" ref="J68:J75" si="29">IF(H$12=0,0,H68/H$12)</f>
        <v>0.7831472382372181</v>
      </c>
      <c r="K68" s="1"/>
      <c r="L68" s="1">
        <f t="shared" ref="L68:L75" si="30">+D68-H68</f>
        <v>-826.18000000000393</v>
      </c>
      <c r="M68" s="1"/>
      <c r="N68" s="5">
        <f t="shared" ref="N68:N75" si="31">IF(H68=0,0,L68/H68)</f>
        <v>-3.0861571184112813E-2</v>
      </c>
      <c r="O68" s="14"/>
      <c r="P68" s="1">
        <f>SUM(OSRRefP22_1x_0)</f>
        <v>125315.64999999998</v>
      </c>
      <c r="Q68" s="1"/>
      <c r="R68" s="5">
        <f t="shared" ref="R68:R75" si="32">IF(P$12=0,0,P68/P$12)</f>
        <v>9.3257484950620237E-2</v>
      </c>
      <c r="S68" s="1"/>
      <c r="T68" s="1">
        <f>SUM(OSRRefT22_1x_0)</f>
        <v>116444.83</v>
      </c>
      <c r="U68" s="1"/>
      <c r="V68" s="5">
        <f t="shared" ref="V68:V75" si="33">IF(T$12=0,0,T68/T$12)</f>
        <v>7.5334395894153319E-2</v>
      </c>
      <c r="W68" s="1"/>
      <c r="X68" s="1">
        <f t="shared" ref="X68:X75" si="34">+P68-T68</f>
        <v>8870.8199999999779</v>
      </c>
      <c r="Y68" s="1"/>
      <c r="Z68" s="5">
        <f t="shared" ref="Z68:Z75" si="35">IF(T68=0,0,X68/T68)</f>
        <v>7.6180453868153503E-2</v>
      </c>
    </row>
    <row r="69" spans="1:26" s="24" customFormat="1" hidden="1" outlineLevel="2" x14ac:dyDescent="0.25">
      <c r="A69" s="29"/>
      <c r="B69" s="11" t="str">
        <f>CONCATENATE("          ", "6001", " - ", "ADMINISTRATIVE SALARIES")</f>
        <v xml:space="preserve">          6001 - ADMINISTRATIVE SALARIES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/>
      <c r="Q69" s="2"/>
      <c r="R69" s="7">
        <f t="shared" si="32"/>
        <v>0</v>
      </c>
      <c r="S69" s="2"/>
      <c r="T69" s="6">
        <v>-311.32</v>
      </c>
      <c r="U69" s="2"/>
      <c r="V69" s="7">
        <f t="shared" si="33"/>
        <v>-2.0140957850827565E-4</v>
      </c>
      <c r="W69" s="2"/>
      <c r="X69" s="6">
        <f t="shared" si="34"/>
        <v>311.32</v>
      </c>
      <c r="Y69" s="2"/>
      <c r="Z69" s="7">
        <f t="shared" si="35"/>
        <v>-1</v>
      </c>
    </row>
    <row r="70" spans="1:26" s="24" customFormat="1" hidden="1" outlineLevel="2" x14ac:dyDescent="0.25">
      <c r="A70" s="29"/>
      <c r="B70" s="11" t="str">
        <f>CONCATENATE("          ", "6002", " - ", "STAFF SALARIES")</f>
        <v xml:space="preserve">          6002 - STAFF SALARIES</v>
      </c>
      <c r="C70" s="11"/>
      <c r="D70" s="6">
        <v>16567.12</v>
      </c>
      <c r="E70" s="2"/>
      <c r="F70" s="7">
        <f t="shared" si="28"/>
        <v>0.44040874484283959</v>
      </c>
      <c r="G70" s="2"/>
      <c r="H70" s="6">
        <v>16701.23</v>
      </c>
      <c r="I70" s="2"/>
      <c r="J70" s="7">
        <f t="shared" si="29"/>
        <v>0.48857949100202325</v>
      </c>
      <c r="K70" s="2"/>
      <c r="L70" s="6">
        <f t="shared" si="30"/>
        <v>-134.11000000000058</v>
      </c>
      <c r="M70" s="2"/>
      <c r="N70" s="7">
        <f t="shared" si="31"/>
        <v>-8.0299474948851424E-3</v>
      </c>
      <c r="O70" s="11"/>
      <c r="P70" s="6">
        <v>69667.899999999994</v>
      </c>
      <c r="Q70" s="2"/>
      <c r="R70" s="7">
        <f t="shared" si="32"/>
        <v>5.1845504817565211E-2</v>
      </c>
      <c r="S70" s="2"/>
      <c r="T70" s="6">
        <v>64144.15</v>
      </c>
      <c r="U70" s="2"/>
      <c r="V70" s="7">
        <f t="shared" si="33"/>
        <v>4.149828541459466E-2</v>
      </c>
      <c r="W70" s="2"/>
      <c r="X70" s="6">
        <f t="shared" si="34"/>
        <v>5523.7499999999927</v>
      </c>
      <c r="Y70" s="2"/>
      <c r="Z70" s="7">
        <f t="shared" si="35"/>
        <v>8.6114633992343689E-2</v>
      </c>
    </row>
    <row r="71" spans="1:26" s="24" customFormat="1" hidden="1" outlineLevel="2" x14ac:dyDescent="0.25">
      <c r="A71" s="29"/>
      <c r="B71" s="11" t="str">
        <f>CONCATENATE("          ", "6004", " - ", "STAFF HOURLY")</f>
        <v xml:space="preserve">          6004 - STAFF HOURLY</v>
      </c>
      <c r="C71" s="11"/>
      <c r="D71" s="6">
        <v>7047.55</v>
      </c>
      <c r="E71" s="2"/>
      <c r="F71" s="7">
        <f t="shared" si="28"/>
        <v>0.18734714601675817</v>
      </c>
      <c r="G71" s="2"/>
      <c r="H71" s="6">
        <v>8733.7900000000009</v>
      </c>
      <c r="I71" s="2"/>
      <c r="J71" s="7">
        <f t="shared" si="29"/>
        <v>0.25549918615087397</v>
      </c>
      <c r="K71" s="2"/>
      <c r="L71" s="6">
        <f t="shared" si="30"/>
        <v>-1686.2400000000007</v>
      </c>
      <c r="M71" s="2"/>
      <c r="N71" s="7">
        <f t="shared" si="31"/>
        <v>-0.19307082034260045</v>
      </c>
      <c r="O71" s="11"/>
      <c r="P71" s="6">
        <v>24796.46</v>
      </c>
      <c r="Q71" s="2"/>
      <c r="R71" s="7">
        <f t="shared" si="32"/>
        <v>1.8453046329637655E-2</v>
      </c>
      <c r="S71" s="2"/>
      <c r="T71" s="6">
        <v>27311.52</v>
      </c>
      <c r="U71" s="2"/>
      <c r="V71" s="7">
        <f t="shared" si="33"/>
        <v>1.7669284760440513E-2</v>
      </c>
      <c r="W71" s="2"/>
      <c r="X71" s="6">
        <f t="shared" si="34"/>
        <v>-2515.0600000000013</v>
      </c>
      <c r="Y71" s="2"/>
      <c r="Z71" s="7">
        <f t="shared" si="35"/>
        <v>-9.2087880864924448E-2</v>
      </c>
    </row>
    <row r="72" spans="1:26" s="24" customFormat="1" hidden="1" outlineLevel="2" x14ac:dyDescent="0.25">
      <c r="A72" s="29"/>
      <c r="B72" s="11" t="str">
        <f>CONCATENATE("          ", "6005", " - ", "TEMPORARY WAGES-HOURLY")</f>
        <v xml:space="preserve">          6005 - TEMPORARY WAGES-HOURLY</v>
      </c>
      <c r="C72" s="11"/>
      <c r="D72" s="6">
        <v>2403.63</v>
      </c>
      <c r="E72" s="2"/>
      <c r="F72" s="7">
        <f t="shared" si="28"/>
        <v>6.389642082429503E-2</v>
      </c>
      <c r="G72" s="2"/>
      <c r="H72" s="6">
        <v>1498.67</v>
      </c>
      <c r="I72" s="2"/>
      <c r="J72" s="7">
        <f t="shared" si="29"/>
        <v>4.3842245498086199E-2</v>
      </c>
      <c r="K72" s="2"/>
      <c r="L72" s="6">
        <f t="shared" si="30"/>
        <v>904.96</v>
      </c>
      <c r="M72" s="2"/>
      <c r="N72" s="7">
        <f t="shared" si="31"/>
        <v>0.60384207330499706</v>
      </c>
      <c r="O72" s="11"/>
      <c r="P72" s="6">
        <v>10540.86</v>
      </c>
      <c r="Q72" s="2"/>
      <c r="R72" s="7">
        <f t="shared" si="32"/>
        <v>7.8443043053010135E-3</v>
      </c>
      <c r="S72" s="2"/>
      <c r="T72" s="6">
        <v>12838</v>
      </c>
      <c r="U72" s="2"/>
      <c r="V72" s="7">
        <f t="shared" si="33"/>
        <v>8.3055896469524694E-3</v>
      </c>
      <c r="W72" s="2"/>
      <c r="X72" s="6">
        <f t="shared" si="34"/>
        <v>-2297.1399999999994</v>
      </c>
      <c r="Y72" s="2"/>
      <c r="Z72" s="7">
        <f t="shared" si="35"/>
        <v>-0.17893285558498204</v>
      </c>
    </row>
    <row r="73" spans="1:26" s="24" customFormat="1" hidden="1" outlineLevel="2" x14ac:dyDescent="0.25">
      <c r="A73" s="29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8"/>
        <v>0</v>
      </c>
      <c r="G73" s="2"/>
      <c r="H73" s="6"/>
      <c r="I73" s="2"/>
      <c r="J73" s="7">
        <f t="shared" si="29"/>
        <v>0</v>
      </c>
      <c r="K73" s="2"/>
      <c r="L73" s="6">
        <f t="shared" si="30"/>
        <v>0</v>
      </c>
      <c r="M73" s="2"/>
      <c r="N73" s="7">
        <f t="shared" si="31"/>
        <v>0</v>
      </c>
      <c r="O73" s="11"/>
      <c r="P73" s="6"/>
      <c r="Q73" s="2"/>
      <c r="R73" s="7">
        <f t="shared" si="32"/>
        <v>0</v>
      </c>
      <c r="S73" s="2"/>
      <c r="T73" s="6">
        <v>502.29</v>
      </c>
      <c r="U73" s="2"/>
      <c r="V73" s="7">
        <f t="shared" si="33"/>
        <v>3.249582975360458E-4</v>
      </c>
      <c r="W73" s="2"/>
      <c r="X73" s="6">
        <f t="shared" si="34"/>
        <v>-502.29</v>
      </c>
      <c r="Y73" s="2"/>
      <c r="Z73" s="7">
        <f t="shared" si="35"/>
        <v>-1</v>
      </c>
    </row>
    <row r="74" spans="1:26" s="24" customFormat="1" hidden="1" outlineLevel="2" x14ac:dyDescent="0.25">
      <c r="A74" s="29"/>
      <c r="B74" s="11" t="str">
        <f>CONCATENATE("          ", "6007", " - ", "STUDENT HOURLY")</f>
        <v xml:space="preserve">          6007 - STUDENT HOURLY</v>
      </c>
      <c r="C74" s="11"/>
      <c r="D74" s="6">
        <v>-240.57</v>
      </c>
      <c r="E74" s="2"/>
      <c r="F74" s="7">
        <f t="shared" si="28"/>
        <v>-6.3951448258262105E-3</v>
      </c>
      <c r="G74" s="2"/>
      <c r="H74" s="6">
        <v>-163.18</v>
      </c>
      <c r="I74" s="2"/>
      <c r="J74" s="7">
        <f t="shared" si="29"/>
        <v>-4.7736844137653426E-3</v>
      </c>
      <c r="K74" s="2"/>
      <c r="L74" s="6">
        <f t="shared" si="30"/>
        <v>-77.389999999999986</v>
      </c>
      <c r="M74" s="2"/>
      <c r="N74" s="7">
        <f t="shared" si="31"/>
        <v>0.47426155166074263</v>
      </c>
      <c r="O74" s="11"/>
      <c r="P74" s="6">
        <v>16343.95</v>
      </c>
      <c r="Q74" s="2"/>
      <c r="R74" s="7">
        <f t="shared" si="32"/>
        <v>1.2162851736065607E-2</v>
      </c>
      <c r="S74" s="2"/>
      <c r="T74" s="6">
        <v>11960.19</v>
      </c>
      <c r="U74" s="2"/>
      <c r="V74" s="7">
        <f t="shared" si="33"/>
        <v>7.7376873531379078E-3</v>
      </c>
      <c r="W74" s="2"/>
      <c r="X74" s="6">
        <f t="shared" si="34"/>
        <v>4383.76</v>
      </c>
      <c r="Y74" s="2"/>
      <c r="Z74" s="7">
        <f t="shared" si="35"/>
        <v>0.36652929426706432</v>
      </c>
    </row>
    <row r="75" spans="1:26" s="24" customFormat="1" hidden="1" outlineLevel="2" x14ac:dyDescent="0.25">
      <c r="A75" s="29"/>
      <c r="B75" s="11" t="str">
        <f>CONCATENATE("          ", "6008", " - ", "STUDENT HOURLY-FICA EXEMPT")</f>
        <v xml:space="preserve">          6008 - STUDENT HOURLY-FICA EXEMPT</v>
      </c>
      <c r="C75" s="11"/>
      <c r="D75" s="6">
        <v>166.6</v>
      </c>
      <c r="E75" s="2"/>
      <c r="F75" s="7">
        <f t="shared" si="28"/>
        <v>4.4287780187997113E-3</v>
      </c>
      <c r="G75" s="2"/>
      <c r="H75" s="6"/>
      <c r="I75" s="2"/>
      <c r="J75" s="7">
        <f t="shared" si="29"/>
        <v>0</v>
      </c>
      <c r="K75" s="2"/>
      <c r="L75" s="6">
        <f t="shared" si="30"/>
        <v>166.6</v>
      </c>
      <c r="M75" s="2"/>
      <c r="N75" s="7">
        <f t="shared" si="31"/>
        <v>0</v>
      </c>
      <c r="O75" s="11"/>
      <c r="P75" s="6">
        <v>3966.48</v>
      </c>
      <c r="Q75" s="2"/>
      <c r="R75" s="7">
        <f t="shared" si="32"/>
        <v>2.9517777620507589E-3</v>
      </c>
      <c r="S75" s="2"/>
      <c r="T75" s="6"/>
      <c r="U75" s="2"/>
      <c r="V75" s="7">
        <f t="shared" si="33"/>
        <v>0</v>
      </c>
      <c r="W75" s="2"/>
      <c r="X75" s="6">
        <f t="shared" si="34"/>
        <v>3966.48</v>
      </c>
      <c r="Y75" s="2"/>
      <c r="Z75" s="7">
        <f t="shared" si="35"/>
        <v>0</v>
      </c>
    </row>
    <row r="76" spans="1:26" s="28" customFormat="1" outlineLevel="1" collapsed="1" x14ac:dyDescent="0.2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113.63</v>
      </c>
      <c r="E76" s="1"/>
      <c r="F76" s="5">
        <f t="shared" ref="F76:F93" si="36">IF(D$12=0,0,D76/D$12)</f>
        <v>3.0206605418740171E-3</v>
      </c>
      <c r="G76" s="1"/>
      <c r="H76" s="1">
        <f>SUM(OSRRefH22_2x_0)</f>
        <v>0</v>
      </c>
      <c r="I76" s="1"/>
      <c r="J76" s="5">
        <f t="shared" ref="J76:J93" si="37">IF(H$12=0,0,H76/H$12)</f>
        <v>0</v>
      </c>
      <c r="K76" s="1"/>
      <c r="L76" s="1">
        <f t="shared" ref="L76:L93" si="38">+D76-H76</f>
        <v>113.63</v>
      </c>
      <c r="M76" s="1"/>
      <c r="N76" s="5">
        <f t="shared" ref="N76:N93" si="39">IF(H76=0,0,L76/H76)</f>
        <v>0</v>
      </c>
      <c r="O76" s="14"/>
      <c r="P76" s="1">
        <f>SUM(OSRRefP22_2x_0)</f>
        <v>233.05</v>
      </c>
      <c r="Q76" s="1"/>
      <c r="R76" s="5">
        <f t="shared" ref="R76:R93" si="40">IF(P$12=0,0,P76/P$12)</f>
        <v>1.7343130620750121E-4</v>
      </c>
      <c r="S76" s="1"/>
      <c r="T76" s="1">
        <f>SUM(OSRRefT22_2x_0)</f>
        <v>1359.88</v>
      </c>
      <c r="U76" s="1"/>
      <c r="V76" s="5">
        <f t="shared" ref="V76:V93" si="41">IF(T$12=0,0,T76/T$12)</f>
        <v>8.797791906136256E-4</v>
      </c>
      <c r="W76" s="1"/>
      <c r="X76" s="1">
        <f t="shared" ref="X76:X93" si="42">+P76-T76</f>
        <v>-1126.8300000000002</v>
      </c>
      <c r="Y76" s="1"/>
      <c r="Z76" s="5">
        <f t="shared" ref="Z76:Z93" si="43">IF(T76=0,0,X76/T76)</f>
        <v>-0.82862458452216381</v>
      </c>
    </row>
    <row r="77" spans="1:26" s="24" customFormat="1" hidden="1" outlineLevel="2" x14ac:dyDescent="0.25">
      <c r="A77" s="29"/>
      <c r="B77" s="11" t="str">
        <f>CONCATENATE("          ", "6362", " - ", "ADVERTISING EXPENSE")</f>
        <v xml:space="preserve">          6362 - ADVERTISING EXPENSE</v>
      </c>
      <c r="C77" s="11"/>
      <c r="D77" s="6">
        <v>113.63</v>
      </c>
      <c r="E77" s="2"/>
      <c r="F77" s="7">
        <f t="shared" si="36"/>
        <v>3.0206605418740171E-3</v>
      </c>
      <c r="G77" s="2"/>
      <c r="H77" s="6"/>
      <c r="I77" s="2"/>
      <c r="J77" s="7">
        <f t="shared" si="37"/>
        <v>0</v>
      </c>
      <c r="K77" s="2"/>
      <c r="L77" s="6">
        <f t="shared" si="38"/>
        <v>113.63</v>
      </c>
      <c r="M77" s="2"/>
      <c r="N77" s="7">
        <f t="shared" si="39"/>
        <v>0</v>
      </c>
      <c r="O77" s="11"/>
      <c r="P77" s="6">
        <v>233.05</v>
      </c>
      <c r="Q77" s="2"/>
      <c r="R77" s="7">
        <f t="shared" si="40"/>
        <v>1.7343130620750121E-4</v>
      </c>
      <c r="S77" s="2"/>
      <c r="T77" s="6">
        <v>1359.88</v>
      </c>
      <c r="U77" s="2"/>
      <c r="V77" s="7">
        <f t="shared" si="41"/>
        <v>8.797791906136256E-4</v>
      </c>
      <c r="W77" s="2"/>
      <c r="X77" s="6">
        <f t="shared" si="42"/>
        <v>-1126.8300000000002</v>
      </c>
      <c r="Y77" s="2"/>
      <c r="Z77" s="7">
        <f t="shared" si="43"/>
        <v>-0.82862458452216381</v>
      </c>
    </row>
    <row r="78" spans="1:26" s="28" customFormat="1" outlineLevel="1" collapsed="1" x14ac:dyDescent="0.2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0</v>
      </c>
      <c r="E78" s="1"/>
      <c r="F78" s="5">
        <f t="shared" si="36"/>
        <v>0</v>
      </c>
      <c r="G78" s="1"/>
      <c r="H78" s="1">
        <f>SUM(OSRRefH22_3x_0)</f>
        <v>0</v>
      </c>
      <c r="I78" s="1"/>
      <c r="J78" s="5">
        <f t="shared" si="37"/>
        <v>0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SUM(OSRRefP22_3x_0)</f>
        <v>0</v>
      </c>
      <c r="Q78" s="1"/>
      <c r="R78" s="5">
        <f t="shared" si="40"/>
        <v>0</v>
      </c>
      <c r="S78" s="1"/>
      <c r="T78" s="1">
        <f>SUM(OSRRefT22_3x_0)</f>
        <v>0</v>
      </c>
      <c r="U78" s="1"/>
      <c r="V78" s="5">
        <f t="shared" si="41"/>
        <v>0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9"/>
      <c r="B79" s="11" t="str">
        <f>CONCATENATE("          ", "6382", " - ", "DISCOUNTS/MARK DOWNS")</f>
        <v xml:space="preserve">          6382 - DISCOUNTS/MARK DOWNS</v>
      </c>
      <c r="C79" s="11"/>
      <c r="D79" s="6"/>
      <c r="E79" s="2"/>
      <c r="F79" s="7">
        <f t="shared" si="36"/>
        <v>0</v>
      </c>
      <c r="G79" s="2"/>
      <c r="H79" s="6">
        <v>0</v>
      </c>
      <c r="I79" s="2"/>
      <c r="J79" s="7">
        <f t="shared" si="37"/>
        <v>0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/>
      <c r="Q79" s="2"/>
      <c r="R79" s="7">
        <f t="shared" si="40"/>
        <v>0</v>
      </c>
      <c r="S79" s="2"/>
      <c r="T79" s="6">
        <v>0</v>
      </c>
      <c r="U79" s="2"/>
      <c r="V79" s="7">
        <f t="shared" si="41"/>
        <v>0</v>
      </c>
      <c r="W79" s="2"/>
      <c r="X79" s="6">
        <f t="shared" si="42"/>
        <v>0</v>
      </c>
      <c r="Y79" s="2"/>
      <c r="Z79" s="7">
        <f t="shared" si="43"/>
        <v>0</v>
      </c>
    </row>
    <row r="80" spans="1:26" s="28" customFormat="1" outlineLevel="1" collapsed="1" x14ac:dyDescent="0.25">
      <c r="A80" s="27"/>
      <c r="B80" s="14" t="str">
        <f>CONCATENATE("     ","Employees' Appreciation                           ")</f>
        <v xml:space="preserve">     Employees' Appreciation                           </v>
      </c>
      <c r="C80" s="14"/>
      <c r="D80" s="1">
        <f>SUM(OSRRefD22_4x_0)</f>
        <v>0</v>
      </c>
      <c r="E80" s="1"/>
      <c r="F80" s="5">
        <f t="shared" si="36"/>
        <v>0</v>
      </c>
      <c r="G80" s="1"/>
      <c r="H80" s="1">
        <f>SUM(OSRRefH22_4x_0)</f>
        <v>0</v>
      </c>
      <c r="I80" s="1"/>
      <c r="J80" s="5">
        <f t="shared" si="37"/>
        <v>0</v>
      </c>
      <c r="K80" s="1"/>
      <c r="L80" s="1">
        <f t="shared" si="38"/>
        <v>0</v>
      </c>
      <c r="M80" s="1"/>
      <c r="N80" s="5">
        <f t="shared" si="39"/>
        <v>0</v>
      </c>
      <c r="O80" s="14"/>
      <c r="P80" s="1">
        <f>SUM(OSRRefP22_4x_0)</f>
        <v>0</v>
      </c>
      <c r="Q80" s="1"/>
      <c r="R80" s="5">
        <f t="shared" si="40"/>
        <v>0</v>
      </c>
      <c r="S80" s="1"/>
      <c r="T80" s="1">
        <f>SUM(OSRRefT22_4x_0)</f>
        <v>107.7</v>
      </c>
      <c r="U80" s="1"/>
      <c r="V80" s="5">
        <f t="shared" si="41"/>
        <v>6.9676897100543782E-5</v>
      </c>
      <c r="W80" s="1"/>
      <c r="X80" s="1">
        <f t="shared" si="42"/>
        <v>-107.7</v>
      </c>
      <c r="Y80" s="1"/>
      <c r="Z80" s="5">
        <f t="shared" si="43"/>
        <v>-1</v>
      </c>
    </row>
    <row r="81" spans="1:26" s="24" customFormat="1" hidden="1" outlineLevel="2" x14ac:dyDescent="0.25">
      <c r="A81" s="29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6"/>
        <v>0</v>
      </c>
      <c r="G81" s="2"/>
      <c r="H81" s="6"/>
      <c r="I81" s="2"/>
      <c r="J81" s="7">
        <f t="shared" si="37"/>
        <v>0</v>
      </c>
      <c r="K81" s="2"/>
      <c r="L81" s="6">
        <f t="shared" si="38"/>
        <v>0</v>
      </c>
      <c r="M81" s="2"/>
      <c r="N81" s="7">
        <f t="shared" si="39"/>
        <v>0</v>
      </c>
      <c r="O81" s="11"/>
      <c r="P81" s="6"/>
      <c r="Q81" s="2"/>
      <c r="R81" s="7">
        <f t="shared" si="40"/>
        <v>0</v>
      </c>
      <c r="S81" s="2"/>
      <c r="T81" s="6">
        <v>107.7</v>
      </c>
      <c r="U81" s="2"/>
      <c r="V81" s="7">
        <f t="shared" si="41"/>
        <v>6.9676897100543782E-5</v>
      </c>
      <c r="W81" s="2"/>
      <c r="X81" s="6">
        <f t="shared" si="42"/>
        <v>-107.7</v>
      </c>
      <c r="Y81" s="2"/>
      <c r="Z81" s="7">
        <f t="shared" si="43"/>
        <v>-1</v>
      </c>
    </row>
    <row r="82" spans="1:26" s="28" customFormat="1" outlineLevel="1" collapsed="1" x14ac:dyDescent="0.25">
      <c r="A82" s="27"/>
      <c r="B82" s="14" t="str">
        <f>CONCATENATE("     ","Equipment Rental                                  ")</f>
        <v xml:space="preserve">     Equipment Rental                                  </v>
      </c>
      <c r="C82" s="14"/>
      <c r="D82" s="1">
        <f>SUM(OSRRefD22_5x_0)</f>
        <v>91.26</v>
      </c>
      <c r="E82" s="1"/>
      <c r="F82" s="5">
        <f t="shared" si="36"/>
        <v>2.4259920888094941E-3</v>
      </c>
      <c r="G82" s="1"/>
      <c r="H82" s="1">
        <f>SUM(OSRRefH22_5x_0)</f>
        <v>182.52</v>
      </c>
      <c r="I82" s="1"/>
      <c r="J82" s="5">
        <f t="shared" si="37"/>
        <v>5.3394587523008354E-3</v>
      </c>
      <c r="K82" s="1"/>
      <c r="L82" s="1">
        <f t="shared" si="38"/>
        <v>-91.26</v>
      </c>
      <c r="M82" s="1"/>
      <c r="N82" s="5">
        <f t="shared" si="39"/>
        <v>-0.5</v>
      </c>
      <c r="O82" s="14"/>
      <c r="P82" s="1">
        <f>SUM(OSRRefP22_5x_0)</f>
        <v>365.04</v>
      </c>
      <c r="Q82" s="1"/>
      <c r="R82" s="5">
        <f t="shared" si="40"/>
        <v>2.7165571344340807E-4</v>
      </c>
      <c r="S82" s="1"/>
      <c r="T82" s="1">
        <f>SUM(OSRRefT22_5x_0)</f>
        <v>456.3</v>
      </c>
      <c r="U82" s="1"/>
      <c r="V82" s="5">
        <f t="shared" si="41"/>
        <v>2.952049038716632E-4</v>
      </c>
      <c r="W82" s="1"/>
      <c r="X82" s="1">
        <f t="shared" si="42"/>
        <v>-91.259999999999991</v>
      </c>
      <c r="Y82" s="1"/>
      <c r="Z82" s="5">
        <f t="shared" si="43"/>
        <v>-0.19999999999999998</v>
      </c>
    </row>
    <row r="83" spans="1:26" s="24" customFormat="1" hidden="1" outlineLevel="2" x14ac:dyDescent="0.25">
      <c r="A83" s="29"/>
      <c r="B83" s="11" t="str">
        <f>CONCATENATE("          ", "6351", " - ", "EQUIPMENT RENTAL")</f>
        <v xml:space="preserve">          6351 - EQUIPMENT RENTAL</v>
      </c>
      <c r="C83" s="11"/>
      <c r="D83" s="6">
        <v>91.26</v>
      </c>
      <c r="E83" s="2"/>
      <c r="F83" s="7">
        <f t="shared" si="36"/>
        <v>2.4259920888094941E-3</v>
      </c>
      <c r="G83" s="2"/>
      <c r="H83" s="6">
        <v>182.52</v>
      </c>
      <c r="I83" s="2"/>
      <c r="J83" s="7">
        <f t="shared" si="37"/>
        <v>5.3394587523008354E-3</v>
      </c>
      <c r="K83" s="2"/>
      <c r="L83" s="6">
        <f t="shared" si="38"/>
        <v>-91.26</v>
      </c>
      <c r="M83" s="2"/>
      <c r="N83" s="7">
        <f t="shared" si="39"/>
        <v>-0.5</v>
      </c>
      <c r="O83" s="11"/>
      <c r="P83" s="6">
        <v>365.04</v>
      </c>
      <c r="Q83" s="2"/>
      <c r="R83" s="7">
        <f t="shared" si="40"/>
        <v>2.7165571344340807E-4</v>
      </c>
      <c r="S83" s="2"/>
      <c r="T83" s="6">
        <v>456.3</v>
      </c>
      <c r="U83" s="2"/>
      <c r="V83" s="7">
        <f t="shared" si="41"/>
        <v>2.952049038716632E-4</v>
      </c>
      <c r="W83" s="2"/>
      <c r="X83" s="6">
        <f t="shared" si="42"/>
        <v>-91.259999999999991</v>
      </c>
      <c r="Y83" s="2"/>
      <c r="Z83" s="7">
        <f t="shared" si="43"/>
        <v>-0.19999999999999998</v>
      </c>
    </row>
    <row r="84" spans="1:26" s="28" customFormat="1" outlineLevel="1" collapsed="1" x14ac:dyDescent="0.25">
      <c r="A84" s="27"/>
      <c r="B84" s="14" t="str">
        <f>CONCATENATE("     ","Freight out/Postage                               ")</f>
        <v xml:space="preserve">     Freight out/Postage                               </v>
      </c>
      <c r="C84" s="14"/>
      <c r="D84" s="1">
        <f>SUM(OSRRefD22_6x_0)</f>
        <v>13.21</v>
      </c>
      <c r="E84" s="1"/>
      <c r="F84" s="5">
        <f t="shared" si="36"/>
        <v>3.5116541193483912E-4</v>
      </c>
      <c r="G84" s="1"/>
      <c r="H84" s="1">
        <f>SUM(OSRRefH22_6x_0)</f>
        <v>29.84</v>
      </c>
      <c r="I84" s="1"/>
      <c r="J84" s="5">
        <f t="shared" si="37"/>
        <v>8.72942412714535E-4</v>
      </c>
      <c r="K84" s="1"/>
      <c r="L84" s="1">
        <f t="shared" si="38"/>
        <v>-16.63</v>
      </c>
      <c r="M84" s="1"/>
      <c r="N84" s="5">
        <f t="shared" si="39"/>
        <v>-0.55730563002680966</v>
      </c>
      <c r="O84" s="14"/>
      <c r="P84" s="1">
        <f>SUM(OSRRefP22_6x_0)</f>
        <v>393.75</v>
      </c>
      <c r="Q84" s="1"/>
      <c r="R84" s="5">
        <f t="shared" si="40"/>
        <v>2.9302114061018493E-4</v>
      </c>
      <c r="S84" s="1"/>
      <c r="T84" s="1">
        <f>SUM(OSRRefT22_6x_0)</f>
        <v>566</v>
      </c>
      <c r="U84" s="1"/>
      <c r="V84" s="5">
        <f t="shared" si="41"/>
        <v>3.661757080678531E-4</v>
      </c>
      <c r="W84" s="1"/>
      <c r="X84" s="1">
        <f t="shared" si="42"/>
        <v>-172.25</v>
      </c>
      <c r="Y84" s="1"/>
      <c r="Z84" s="5">
        <f t="shared" si="43"/>
        <v>-0.30432862190812721</v>
      </c>
    </row>
    <row r="85" spans="1:26" s="24" customFormat="1" hidden="1" outlineLevel="2" x14ac:dyDescent="0.25">
      <c r="A85" s="29"/>
      <c r="B85" s="11" t="str">
        <f>CONCATENATE("          ", "6305", " - ", "FREIGHT OUT")</f>
        <v xml:space="preserve">          6305 - FREIGHT OUT</v>
      </c>
      <c r="C85" s="11"/>
      <c r="D85" s="6">
        <v>13.21</v>
      </c>
      <c r="E85" s="2"/>
      <c r="F85" s="7">
        <f t="shared" si="36"/>
        <v>3.5116541193483912E-4</v>
      </c>
      <c r="G85" s="2"/>
      <c r="H85" s="6">
        <v>29.84</v>
      </c>
      <c r="I85" s="2"/>
      <c r="J85" s="7">
        <f t="shared" si="37"/>
        <v>8.72942412714535E-4</v>
      </c>
      <c r="K85" s="2"/>
      <c r="L85" s="6">
        <f t="shared" si="38"/>
        <v>-16.63</v>
      </c>
      <c r="M85" s="2"/>
      <c r="N85" s="7">
        <f t="shared" si="39"/>
        <v>-0.55730563002680966</v>
      </c>
      <c r="O85" s="11"/>
      <c r="P85" s="6">
        <v>393.75</v>
      </c>
      <c r="Q85" s="2"/>
      <c r="R85" s="7">
        <f t="shared" si="40"/>
        <v>2.9302114061018493E-4</v>
      </c>
      <c r="S85" s="2"/>
      <c r="T85" s="6">
        <v>566</v>
      </c>
      <c r="U85" s="2"/>
      <c r="V85" s="7">
        <f t="shared" si="41"/>
        <v>3.661757080678531E-4</v>
      </c>
      <c r="W85" s="2"/>
      <c r="X85" s="6">
        <f t="shared" si="42"/>
        <v>-172.25</v>
      </c>
      <c r="Y85" s="2"/>
      <c r="Z85" s="7">
        <f t="shared" si="43"/>
        <v>-0.30432862190812721</v>
      </c>
    </row>
    <row r="86" spans="1:26" s="28" customFormat="1" outlineLevel="1" collapsed="1" x14ac:dyDescent="0.25">
      <c r="A86" s="27"/>
      <c r="B86" s="14" t="str">
        <f>CONCATENATE("     ","General                                           ")</f>
        <v xml:space="preserve">     General                                           </v>
      </c>
      <c r="C86" s="14"/>
      <c r="D86" s="1">
        <f>SUM(OSRRefD22_7x_0)</f>
        <v>0</v>
      </c>
      <c r="E86" s="1"/>
      <c r="F86" s="5">
        <f t="shared" si="36"/>
        <v>0</v>
      </c>
      <c r="G86" s="1"/>
      <c r="H86" s="1">
        <f>SUM(OSRRefH22_7x_0)</f>
        <v>-40</v>
      </c>
      <c r="I86" s="1"/>
      <c r="J86" s="5">
        <f t="shared" si="37"/>
        <v>-1.1701640921106368E-3</v>
      </c>
      <c r="K86" s="1"/>
      <c r="L86" s="1">
        <f t="shared" si="38"/>
        <v>40</v>
      </c>
      <c r="M86" s="1"/>
      <c r="N86" s="5">
        <f t="shared" si="39"/>
        <v>-1</v>
      </c>
      <c r="O86" s="14"/>
      <c r="P86" s="1">
        <f>SUM(OSRRefP22_7x_0)</f>
        <v>0</v>
      </c>
      <c r="Q86" s="1"/>
      <c r="R86" s="5">
        <f t="shared" si="40"/>
        <v>0</v>
      </c>
      <c r="S86" s="1"/>
      <c r="T86" s="1">
        <f>SUM(OSRRefT22_7x_0)</f>
        <v>-4834.1899999999996</v>
      </c>
      <c r="U86" s="1"/>
      <c r="V86" s="5">
        <f t="shared" si="41"/>
        <v>-3.1274963713507679E-3</v>
      </c>
      <c r="W86" s="1"/>
      <c r="X86" s="1">
        <f t="shared" si="42"/>
        <v>4834.1899999999996</v>
      </c>
      <c r="Y86" s="1"/>
      <c r="Z86" s="5">
        <f t="shared" si="43"/>
        <v>-1</v>
      </c>
    </row>
    <row r="87" spans="1:26" s="24" customFormat="1" hidden="1" outlineLevel="2" x14ac:dyDescent="0.25">
      <c r="A87" s="29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6"/>
        <v>0</v>
      </c>
      <c r="G87" s="2"/>
      <c r="H87" s="6">
        <v>-40</v>
      </c>
      <c r="I87" s="2"/>
      <c r="J87" s="7">
        <f t="shared" si="37"/>
        <v>-1.1701640921106368E-3</v>
      </c>
      <c r="K87" s="2"/>
      <c r="L87" s="6">
        <f t="shared" si="38"/>
        <v>40</v>
      </c>
      <c r="M87" s="2"/>
      <c r="N87" s="7">
        <f t="shared" si="39"/>
        <v>-1</v>
      </c>
      <c r="O87" s="11"/>
      <c r="P87" s="6"/>
      <c r="Q87" s="2"/>
      <c r="R87" s="7">
        <f t="shared" si="40"/>
        <v>0</v>
      </c>
      <c r="S87" s="2"/>
      <c r="T87" s="6">
        <v>-4834.1899999999996</v>
      </c>
      <c r="U87" s="2"/>
      <c r="V87" s="7">
        <f t="shared" si="41"/>
        <v>-3.1274963713507679E-3</v>
      </c>
      <c r="W87" s="2"/>
      <c r="X87" s="6">
        <f t="shared" si="42"/>
        <v>4834.1899999999996</v>
      </c>
      <c r="Y87" s="2"/>
      <c r="Z87" s="7">
        <f t="shared" si="43"/>
        <v>-1</v>
      </c>
    </row>
    <row r="88" spans="1:26" s="28" customFormat="1" outlineLevel="1" collapsed="1" x14ac:dyDescent="0.25">
      <c r="A88" s="27"/>
      <c r="B88" s="14" t="str">
        <f>CONCATENATE("     ","Inventory Adjustment                              ")</f>
        <v xml:space="preserve">     Inventory Adjustment                              </v>
      </c>
      <c r="C88" s="14"/>
      <c r="D88" s="1">
        <f>SUM(OSRRefD22_8x_0)</f>
        <v>1000</v>
      </c>
      <c r="E88" s="1"/>
      <c r="F88" s="5">
        <f t="shared" si="36"/>
        <v>2.658330143337162E-2</v>
      </c>
      <c r="G88" s="1"/>
      <c r="H88" s="1">
        <f>SUM(OSRRefH22_8x_0)</f>
        <v>1000</v>
      </c>
      <c r="I88" s="1"/>
      <c r="J88" s="5">
        <f t="shared" si="37"/>
        <v>2.9254102302765917E-2</v>
      </c>
      <c r="K88" s="1"/>
      <c r="L88" s="1">
        <f t="shared" si="38"/>
        <v>0</v>
      </c>
      <c r="M88" s="1"/>
      <c r="N88" s="5">
        <f t="shared" si="39"/>
        <v>0</v>
      </c>
      <c r="O88" s="14"/>
      <c r="P88" s="1">
        <f>SUM(OSRRefP22_8x_0)</f>
        <v>4000</v>
      </c>
      <c r="Q88" s="1"/>
      <c r="R88" s="5">
        <f t="shared" si="40"/>
        <v>2.9767226982621961E-3</v>
      </c>
      <c r="S88" s="1"/>
      <c r="T88" s="1">
        <f>SUM(OSRRefT22_8x_0)</f>
        <v>4000</v>
      </c>
      <c r="U88" s="1"/>
      <c r="V88" s="5">
        <f t="shared" si="41"/>
        <v>2.587814191292248E-3</v>
      </c>
      <c r="W88" s="1"/>
      <c r="X88" s="1">
        <f t="shared" si="42"/>
        <v>0</v>
      </c>
      <c r="Y88" s="1"/>
      <c r="Z88" s="5">
        <f t="shared" si="43"/>
        <v>0</v>
      </c>
    </row>
    <row r="89" spans="1:26" s="24" customFormat="1" hidden="1" outlineLevel="2" x14ac:dyDescent="0.25">
      <c r="A89" s="29"/>
      <c r="B89" s="11" t="str">
        <f>CONCATENATE("          ", "6408", " - ", "INVENTORY ADJUSTMENT")</f>
        <v xml:space="preserve">          6408 - INVENTORY ADJUSTMENT</v>
      </c>
      <c r="C89" s="11"/>
      <c r="D89" s="6">
        <v>1000</v>
      </c>
      <c r="E89" s="2"/>
      <c r="F89" s="7">
        <f t="shared" si="36"/>
        <v>2.658330143337162E-2</v>
      </c>
      <c r="G89" s="2"/>
      <c r="H89" s="6">
        <v>1000</v>
      </c>
      <c r="I89" s="2"/>
      <c r="J89" s="7">
        <f t="shared" si="37"/>
        <v>2.9254102302765917E-2</v>
      </c>
      <c r="K89" s="2"/>
      <c r="L89" s="6">
        <f t="shared" si="38"/>
        <v>0</v>
      </c>
      <c r="M89" s="2"/>
      <c r="N89" s="7">
        <f t="shared" si="39"/>
        <v>0</v>
      </c>
      <c r="O89" s="11"/>
      <c r="P89" s="6">
        <v>4000</v>
      </c>
      <c r="Q89" s="2"/>
      <c r="R89" s="7">
        <f t="shared" si="40"/>
        <v>2.9767226982621961E-3</v>
      </c>
      <c r="S89" s="2"/>
      <c r="T89" s="6">
        <v>4000</v>
      </c>
      <c r="U89" s="2"/>
      <c r="V89" s="7">
        <f t="shared" si="41"/>
        <v>2.587814191292248E-3</v>
      </c>
      <c r="W89" s="2"/>
      <c r="X89" s="6">
        <f t="shared" si="42"/>
        <v>0</v>
      </c>
      <c r="Y89" s="2"/>
      <c r="Z89" s="7">
        <f t="shared" si="43"/>
        <v>0</v>
      </c>
    </row>
    <row r="90" spans="1:26" s="28" customFormat="1" outlineLevel="1" collapsed="1" x14ac:dyDescent="0.25">
      <c r="A90" s="27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SUM(OSRRefD22_9x_0)</f>
        <v>2932.91</v>
      </c>
      <c r="E90" s="1"/>
      <c r="F90" s="5">
        <f t="shared" si="36"/>
        <v>7.7966430606949952E-2</v>
      </c>
      <c r="G90" s="1"/>
      <c r="H90" s="1">
        <f>SUM(OSRRefH22_9x_0)</f>
        <v>19.670000000000002</v>
      </c>
      <c r="I90" s="1"/>
      <c r="J90" s="5">
        <f t="shared" si="37"/>
        <v>5.7542819229540563E-4</v>
      </c>
      <c r="K90" s="1"/>
      <c r="L90" s="1">
        <f t="shared" si="38"/>
        <v>2913.24</v>
      </c>
      <c r="M90" s="1"/>
      <c r="N90" s="5">
        <f t="shared" si="39"/>
        <v>148.10574478901879</v>
      </c>
      <c r="O90" s="14"/>
      <c r="P90" s="1">
        <f>SUM(OSRRefP22_9x_0)</f>
        <v>5833.44</v>
      </c>
      <c r="Q90" s="1"/>
      <c r="R90" s="5">
        <f t="shared" si="40"/>
        <v>4.3411333142376564E-3</v>
      </c>
      <c r="S90" s="1"/>
      <c r="T90" s="1">
        <f>SUM(OSRRefT22_9x_0)</f>
        <v>111.47</v>
      </c>
      <c r="U90" s="1"/>
      <c r="V90" s="5">
        <f t="shared" si="41"/>
        <v>7.2115911975836723E-5</v>
      </c>
      <c r="W90" s="1"/>
      <c r="X90" s="1">
        <f t="shared" si="42"/>
        <v>5721.9699999999993</v>
      </c>
      <c r="Y90" s="1"/>
      <c r="Z90" s="5">
        <f t="shared" si="43"/>
        <v>51.331927872970297</v>
      </c>
    </row>
    <row r="91" spans="1:26" s="24" customFormat="1" hidden="1" outlineLevel="2" x14ac:dyDescent="0.25">
      <c r="A91" s="29"/>
      <c r="B91" s="11" t="str">
        <f>CONCATENATE("          ", "6371", " - ", "COMPUTER SOFTWARE MAINTENANCE")</f>
        <v xml:space="preserve">          6371 - COMPUTER SOFTWARE MAINTENANCE</v>
      </c>
      <c r="C91" s="11"/>
      <c r="D91" s="6">
        <v>2887.5</v>
      </c>
      <c r="E91" s="2"/>
      <c r="F91" s="7">
        <f t="shared" si="36"/>
        <v>7.6759282888860553E-2</v>
      </c>
      <c r="G91" s="2"/>
      <c r="H91" s="6"/>
      <c r="I91" s="2"/>
      <c r="J91" s="7">
        <f t="shared" si="37"/>
        <v>0</v>
      </c>
      <c r="K91" s="2"/>
      <c r="L91" s="6">
        <f t="shared" si="38"/>
        <v>2887.5</v>
      </c>
      <c r="M91" s="2"/>
      <c r="N91" s="7">
        <f t="shared" si="39"/>
        <v>0</v>
      </c>
      <c r="O91" s="11"/>
      <c r="P91" s="6">
        <v>5775</v>
      </c>
      <c r="Q91" s="2"/>
      <c r="R91" s="7">
        <f t="shared" si="40"/>
        <v>4.2976433956160463E-3</v>
      </c>
      <c r="S91" s="2"/>
      <c r="T91" s="6"/>
      <c r="U91" s="2"/>
      <c r="V91" s="7">
        <f t="shared" si="41"/>
        <v>0</v>
      </c>
      <c r="W91" s="2"/>
      <c r="X91" s="6">
        <f t="shared" si="42"/>
        <v>5775</v>
      </c>
      <c r="Y91" s="2"/>
      <c r="Z91" s="7">
        <f t="shared" si="43"/>
        <v>0</v>
      </c>
    </row>
    <row r="92" spans="1:26" s="24" customFormat="1" hidden="1" outlineLevel="2" x14ac:dyDescent="0.25">
      <c r="A92" s="29"/>
      <c r="B92" s="11" t="str">
        <f>CONCATENATE("          ", "6373", " - ", "MAINTENANCE CONTRACTS")</f>
        <v xml:space="preserve">          6373 - MAINTENANCE CONTRACTS</v>
      </c>
      <c r="C92" s="11"/>
      <c r="D92" s="6">
        <v>45.41</v>
      </c>
      <c r="E92" s="2"/>
      <c r="F92" s="7">
        <f t="shared" si="36"/>
        <v>1.2071477180894052E-3</v>
      </c>
      <c r="G92" s="2"/>
      <c r="H92" s="6">
        <v>19.670000000000002</v>
      </c>
      <c r="I92" s="2"/>
      <c r="J92" s="7">
        <f t="shared" si="37"/>
        <v>5.7542819229540563E-4</v>
      </c>
      <c r="K92" s="2"/>
      <c r="L92" s="6">
        <f t="shared" si="38"/>
        <v>25.739999999999995</v>
      </c>
      <c r="M92" s="2"/>
      <c r="N92" s="7">
        <f t="shared" si="39"/>
        <v>1.308591764107778</v>
      </c>
      <c r="O92" s="11"/>
      <c r="P92" s="6">
        <v>58.44</v>
      </c>
      <c r="Q92" s="2"/>
      <c r="R92" s="7">
        <f t="shared" si="40"/>
        <v>4.3489918621610688E-5</v>
      </c>
      <c r="S92" s="2"/>
      <c r="T92" s="6">
        <v>86.36</v>
      </c>
      <c r="U92" s="2"/>
      <c r="V92" s="7">
        <f t="shared" si="41"/>
        <v>5.5870908389999633E-5</v>
      </c>
      <c r="W92" s="2"/>
      <c r="X92" s="6">
        <f t="shared" si="42"/>
        <v>-27.92</v>
      </c>
      <c r="Y92" s="2"/>
      <c r="Z92" s="7">
        <f t="shared" si="43"/>
        <v>-0.32329782306623439</v>
      </c>
    </row>
    <row r="93" spans="1:26" s="24" customFormat="1" hidden="1" outlineLevel="2" x14ac:dyDescent="0.25">
      <c r="A93" s="29"/>
      <c r="B93" s="11" t="str">
        <f>CONCATENATE("          ", "6375", " - ", "OUTSIDE REPAIRS &amp; MAINTENANCE")</f>
        <v xml:space="preserve">          6375 - OUTSIDE REPAIRS &amp; MAINTENANCE</v>
      </c>
      <c r="C93" s="11"/>
      <c r="D93" s="6"/>
      <c r="E93" s="2"/>
      <c r="F93" s="7">
        <f t="shared" si="36"/>
        <v>0</v>
      </c>
      <c r="G93" s="2"/>
      <c r="H93" s="6"/>
      <c r="I93" s="2"/>
      <c r="J93" s="7">
        <f t="shared" si="37"/>
        <v>0</v>
      </c>
      <c r="K93" s="2"/>
      <c r="L93" s="6">
        <f t="shared" si="38"/>
        <v>0</v>
      </c>
      <c r="M93" s="2"/>
      <c r="N93" s="7">
        <f t="shared" si="39"/>
        <v>0</v>
      </c>
      <c r="O93" s="11"/>
      <c r="P93" s="6"/>
      <c r="Q93" s="2"/>
      <c r="R93" s="7">
        <f t="shared" si="40"/>
        <v>0</v>
      </c>
      <c r="S93" s="2"/>
      <c r="T93" s="6">
        <v>25.11</v>
      </c>
      <c r="U93" s="2"/>
      <c r="V93" s="7">
        <f t="shared" si="41"/>
        <v>1.6245003585837086E-5</v>
      </c>
      <c r="W93" s="2"/>
      <c r="X93" s="6">
        <f t="shared" si="42"/>
        <v>-25.11</v>
      </c>
      <c r="Y93" s="2"/>
      <c r="Z93" s="7">
        <f t="shared" si="43"/>
        <v>-1</v>
      </c>
    </row>
    <row r="94" spans="1:26" s="28" customFormat="1" outlineLevel="1" collapsed="1" x14ac:dyDescent="0.2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SUM(OSRRefD22_10x_0)</f>
        <v>904.08</v>
      </c>
      <c r="E94" s="1"/>
      <c r="F94" s="5">
        <f t="shared" ref="F94:F98" si="44">IF(D$12=0,0,D94/D$12)</f>
        <v>2.4033431159882615E-2</v>
      </c>
      <c r="G94" s="1"/>
      <c r="H94" s="1">
        <f>SUM(OSRRefH22_10x_0)</f>
        <v>790.32</v>
      </c>
      <c r="I94" s="1"/>
      <c r="J94" s="5">
        <f t="shared" ref="J94:J98" si="45">IF(H$12=0,0,H94/H$12)</f>
        <v>2.3120102131921963E-2</v>
      </c>
      <c r="K94" s="1"/>
      <c r="L94" s="1">
        <f t="shared" ref="L94:L98" si="46">+D94-H94</f>
        <v>113.75999999999999</v>
      </c>
      <c r="M94" s="1"/>
      <c r="N94" s="5">
        <f t="shared" ref="N94:N98" si="47">IF(H94=0,0,L94/H94)</f>
        <v>0.14394169450349223</v>
      </c>
      <c r="O94" s="14"/>
      <c r="P94" s="1">
        <f>SUM(OSRRefP22_10x_0)</f>
        <v>1076.8399999999999</v>
      </c>
      <c r="Q94" s="1"/>
      <c r="R94" s="5">
        <f t="shared" ref="R94:R98" si="48">IF(P$12=0,0,P94/P$12)</f>
        <v>8.0136351759916582E-4</v>
      </c>
      <c r="S94" s="1"/>
      <c r="T94" s="1">
        <f>SUM(OSRRefT22_10x_0)</f>
        <v>1423.36</v>
      </c>
      <c r="U94" s="1"/>
      <c r="V94" s="5">
        <f t="shared" ref="V94:V98" si="49">IF(T$12=0,0,T94/T$12)</f>
        <v>9.2084780182943339E-4</v>
      </c>
      <c r="W94" s="1"/>
      <c r="X94" s="1">
        <f t="shared" ref="X94:X98" si="50">+P94-T94</f>
        <v>-346.52</v>
      </c>
      <c r="Y94" s="1"/>
      <c r="Z94" s="5">
        <f t="shared" ref="Z94:Z98" si="51">IF(T94=0,0,X94/T94)</f>
        <v>-0.24345211330935251</v>
      </c>
    </row>
    <row r="95" spans="1:26" s="24" customFormat="1" hidden="1" outlineLevel="2" x14ac:dyDescent="0.25">
      <c r="A95" s="29"/>
      <c r="B95" s="11" t="str">
        <f>CONCATENATE("          ", "6258", " - ", "MEMBERSHIP DUES")</f>
        <v xml:space="preserve">          6258 - MEMBERSHIP DUES</v>
      </c>
      <c r="C95" s="11"/>
      <c r="D95" s="6">
        <v>904.08</v>
      </c>
      <c r="E95" s="2"/>
      <c r="F95" s="7">
        <f t="shared" si="44"/>
        <v>2.4033431159882615E-2</v>
      </c>
      <c r="G95" s="2"/>
      <c r="H95" s="6">
        <v>790.32</v>
      </c>
      <c r="I95" s="2"/>
      <c r="J95" s="7">
        <f t="shared" si="45"/>
        <v>2.3120102131921963E-2</v>
      </c>
      <c r="K95" s="2"/>
      <c r="L95" s="6">
        <f t="shared" si="46"/>
        <v>113.75999999999999</v>
      </c>
      <c r="M95" s="2"/>
      <c r="N95" s="7">
        <f t="shared" si="47"/>
        <v>0.14394169450349223</v>
      </c>
      <c r="O95" s="11"/>
      <c r="P95" s="6">
        <v>1076.8399999999999</v>
      </c>
      <c r="Q95" s="2"/>
      <c r="R95" s="7">
        <f t="shared" si="48"/>
        <v>8.0136351759916582E-4</v>
      </c>
      <c r="S95" s="2"/>
      <c r="T95" s="6">
        <v>1423.36</v>
      </c>
      <c r="U95" s="2"/>
      <c r="V95" s="7">
        <f t="shared" si="49"/>
        <v>9.2084780182943339E-4</v>
      </c>
      <c r="W95" s="2"/>
      <c r="X95" s="6">
        <f t="shared" si="50"/>
        <v>-346.52</v>
      </c>
      <c r="Y95" s="2"/>
      <c r="Z95" s="7">
        <f t="shared" si="51"/>
        <v>-0.24345211330935251</v>
      </c>
    </row>
    <row r="96" spans="1:26" s="28" customFormat="1" outlineLevel="1" collapsed="1" x14ac:dyDescent="0.25">
      <c r="A96" s="27"/>
      <c r="B96" s="14" t="str">
        <f>CONCATENATE("     ","Supplies                                          ")</f>
        <v xml:space="preserve">     Supplies                                          </v>
      </c>
      <c r="C96" s="14"/>
      <c r="D96" s="1">
        <f>SUM(OSRRefD22_11x_0)</f>
        <v>127.04</v>
      </c>
      <c r="E96" s="1"/>
      <c r="F96" s="5">
        <f t="shared" si="44"/>
        <v>3.3771426140955306E-3</v>
      </c>
      <c r="G96" s="1"/>
      <c r="H96" s="1">
        <f>SUM(OSRRefH22_11x_0)</f>
        <v>146.28</v>
      </c>
      <c r="I96" s="1"/>
      <c r="J96" s="5">
        <f t="shared" si="45"/>
        <v>4.2792900848485985E-3</v>
      </c>
      <c r="K96" s="1"/>
      <c r="L96" s="1">
        <f t="shared" si="46"/>
        <v>-19.239999999999995</v>
      </c>
      <c r="M96" s="1"/>
      <c r="N96" s="5">
        <f t="shared" si="47"/>
        <v>-0.13152857533497397</v>
      </c>
      <c r="O96" s="14"/>
      <c r="P96" s="1">
        <f>SUM(OSRRefP22_11x_0)</f>
        <v>736.93</v>
      </c>
      <c r="Q96" s="1"/>
      <c r="R96" s="5">
        <f t="shared" si="48"/>
        <v>5.4840906450759005E-4</v>
      </c>
      <c r="S96" s="1"/>
      <c r="T96" s="1">
        <f>SUM(OSRRefT22_11x_0)</f>
        <v>1235.25</v>
      </c>
      <c r="U96" s="1"/>
      <c r="V96" s="5">
        <f t="shared" si="49"/>
        <v>7.9914936994843731E-4</v>
      </c>
      <c r="W96" s="1"/>
      <c r="X96" s="1">
        <f t="shared" si="50"/>
        <v>-498.32000000000005</v>
      </c>
      <c r="Y96" s="1"/>
      <c r="Z96" s="5">
        <f t="shared" si="51"/>
        <v>-0.40341631248735077</v>
      </c>
    </row>
    <row r="97" spans="1:26" s="24" customFormat="1" hidden="1" outlineLevel="2" x14ac:dyDescent="0.25">
      <c r="A97" s="29"/>
      <c r="B97" s="11" t="str">
        <f>CONCATENATE("          ", "6241", " - ", "OFFICE EXPENSE")</f>
        <v xml:space="preserve">          6241 - OFFICE EXPENSE</v>
      </c>
      <c r="C97" s="11"/>
      <c r="D97" s="6">
        <v>127.04</v>
      </c>
      <c r="E97" s="2"/>
      <c r="F97" s="7">
        <f t="shared" si="44"/>
        <v>3.3771426140955306E-3</v>
      </c>
      <c r="G97" s="2"/>
      <c r="H97" s="6">
        <v>146.28</v>
      </c>
      <c r="I97" s="2"/>
      <c r="J97" s="7">
        <f t="shared" si="45"/>
        <v>4.2792900848485985E-3</v>
      </c>
      <c r="K97" s="2"/>
      <c r="L97" s="6">
        <f t="shared" si="46"/>
        <v>-19.239999999999995</v>
      </c>
      <c r="M97" s="2"/>
      <c r="N97" s="7">
        <f t="shared" si="47"/>
        <v>-0.13152857533497397</v>
      </c>
      <c r="O97" s="11"/>
      <c r="P97" s="6">
        <v>736.93</v>
      </c>
      <c r="Q97" s="2"/>
      <c r="R97" s="7">
        <f t="shared" si="48"/>
        <v>5.4840906450759005E-4</v>
      </c>
      <c r="S97" s="2"/>
      <c r="T97" s="6">
        <v>602.15</v>
      </c>
      <c r="U97" s="2"/>
      <c r="V97" s="7">
        <f t="shared" si="49"/>
        <v>3.8956307882165677E-4</v>
      </c>
      <c r="W97" s="2"/>
      <c r="X97" s="6">
        <f t="shared" si="50"/>
        <v>134.77999999999997</v>
      </c>
      <c r="Y97" s="2"/>
      <c r="Z97" s="7">
        <f t="shared" si="51"/>
        <v>0.22383127127792074</v>
      </c>
    </row>
    <row r="98" spans="1:26" s="24" customFormat="1" hidden="1" outlineLevel="2" x14ac:dyDescent="0.25">
      <c r="A98" s="29"/>
      <c r="B98" s="11" t="str">
        <f>CONCATENATE("          ", "6247", " - ", "STORE SUPPLIES")</f>
        <v xml:space="preserve">          6247 - STORE SUPPLIES</v>
      </c>
      <c r="C98" s="11"/>
      <c r="D98" s="6"/>
      <c r="E98" s="2"/>
      <c r="F98" s="7">
        <f t="shared" si="44"/>
        <v>0</v>
      </c>
      <c r="G98" s="2"/>
      <c r="H98" s="6"/>
      <c r="I98" s="2"/>
      <c r="J98" s="7">
        <f t="shared" si="45"/>
        <v>0</v>
      </c>
      <c r="K98" s="2"/>
      <c r="L98" s="6">
        <f t="shared" si="46"/>
        <v>0</v>
      </c>
      <c r="M98" s="2"/>
      <c r="N98" s="7">
        <f t="shared" si="47"/>
        <v>0</v>
      </c>
      <c r="O98" s="11"/>
      <c r="P98" s="6"/>
      <c r="Q98" s="2"/>
      <c r="R98" s="7">
        <f t="shared" si="48"/>
        <v>0</v>
      </c>
      <c r="S98" s="2"/>
      <c r="T98" s="6">
        <v>633.1</v>
      </c>
      <c r="U98" s="2"/>
      <c r="V98" s="7">
        <f t="shared" si="49"/>
        <v>4.0958629112678054E-4</v>
      </c>
      <c r="W98" s="2"/>
      <c r="X98" s="6">
        <f t="shared" si="50"/>
        <v>-633.1</v>
      </c>
      <c r="Y98" s="2"/>
      <c r="Z98" s="7">
        <f t="shared" si="51"/>
        <v>-1</v>
      </c>
    </row>
    <row r="99" spans="1:26" s="28" customFormat="1" outlineLevel="1" collapsed="1" x14ac:dyDescent="0.25">
      <c r="A99" s="27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SUM(OSRRefD22_12x_0)</f>
        <v>611.9</v>
      </c>
      <c r="E99" s="1"/>
      <c r="F99" s="5">
        <f t="shared" ref="F99:F101" si="52">IF(D$12=0,0,D99/D$12)</f>
        <v>1.6266322147080094E-2</v>
      </c>
      <c r="G99" s="1"/>
      <c r="H99" s="1">
        <f>SUM(OSRRefH22_12x_0)</f>
        <v>-634.45000000000005</v>
      </c>
      <c r="I99" s="1"/>
      <c r="J99" s="5">
        <f t="shared" ref="J99:J101" si="53">IF(H$12=0,0,H99/H$12)</f>
        <v>-1.8560265205989839E-2</v>
      </c>
      <c r="K99" s="1"/>
      <c r="L99" s="1">
        <f t="shared" ref="L99:L101" si="54">+D99-H99</f>
        <v>1246.3499999999999</v>
      </c>
      <c r="M99" s="1"/>
      <c r="N99" s="5">
        <f t="shared" ref="N99:N101" si="55">IF(H99=0,0,L99/H99)</f>
        <v>-1.9644574040507523</v>
      </c>
      <c r="O99" s="14"/>
      <c r="P99" s="1">
        <f>SUM(OSRRefP22_12x_0)</f>
        <v>2455.0500000000002</v>
      </c>
      <c r="Q99" s="1"/>
      <c r="R99" s="5">
        <f t="shared" ref="R99:R101" si="56">IF(P$12=0,0,P99/P$12)</f>
        <v>1.8270007650921514E-3</v>
      </c>
      <c r="S99" s="1"/>
      <c r="T99" s="1">
        <f>SUM(OSRRefT22_12x_0)</f>
        <v>3233.85</v>
      </c>
      <c r="U99" s="1"/>
      <c r="V99" s="5">
        <f t="shared" ref="V99:V101" si="57">IF(T$12=0,0,T99/T$12)</f>
        <v>2.0921507306276088E-3</v>
      </c>
      <c r="W99" s="1"/>
      <c r="X99" s="1">
        <f t="shared" ref="X99:X101" si="58">+P99-T99</f>
        <v>-778.79999999999973</v>
      </c>
      <c r="Y99" s="1"/>
      <c r="Z99" s="5">
        <f t="shared" ref="Z99:Z101" si="59">IF(T99=0,0,X99/T99)</f>
        <v>-0.24082749663713524</v>
      </c>
    </row>
    <row r="100" spans="1:26" s="24" customFormat="1" hidden="1" outlineLevel="2" x14ac:dyDescent="0.25">
      <c r="A100" s="29"/>
      <c r="B100" s="11" t="str">
        <f>CONCATENATE("          ", "6303", " - ", "DATA PHONE LINES")</f>
        <v xml:space="preserve">          6303 - DATA PHONE LINES</v>
      </c>
      <c r="C100" s="11"/>
      <c r="D100" s="6"/>
      <c r="E100" s="2"/>
      <c r="F100" s="7">
        <f t="shared" si="52"/>
        <v>0</v>
      </c>
      <c r="G100" s="2"/>
      <c r="H100" s="6"/>
      <c r="I100" s="2"/>
      <c r="J100" s="7">
        <f t="shared" si="53"/>
        <v>0</v>
      </c>
      <c r="K100" s="2"/>
      <c r="L100" s="6">
        <f t="shared" si="54"/>
        <v>0</v>
      </c>
      <c r="M100" s="2"/>
      <c r="N100" s="7">
        <f t="shared" si="55"/>
        <v>0</v>
      </c>
      <c r="O100" s="11"/>
      <c r="P100" s="6">
        <v>295</v>
      </c>
      <c r="Q100" s="2"/>
      <c r="R100" s="7">
        <f t="shared" si="56"/>
        <v>2.1953329899683697E-4</v>
      </c>
      <c r="S100" s="2"/>
      <c r="T100" s="6">
        <v>1180</v>
      </c>
      <c r="U100" s="2"/>
      <c r="V100" s="7">
        <f t="shared" si="57"/>
        <v>7.6340518643121312E-4</v>
      </c>
      <c r="W100" s="2"/>
      <c r="X100" s="6">
        <f t="shared" si="58"/>
        <v>-885</v>
      </c>
      <c r="Y100" s="2"/>
      <c r="Z100" s="7">
        <f t="shared" si="59"/>
        <v>-0.75</v>
      </c>
    </row>
    <row r="101" spans="1:26" s="24" customFormat="1" hidden="1" outlineLevel="2" x14ac:dyDescent="0.25">
      <c r="A101" s="29"/>
      <c r="B101" s="11" t="str">
        <f>CONCATENATE("          ", "6309", " - ", "TELEPHONE")</f>
        <v xml:space="preserve">          6309 - TELEPHONE</v>
      </c>
      <c r="C101" s="11"/>
      <c r="D101" s="6">
        <v>611.9</v>
      </c>
      <c r="E101" s="2"/>
      <c r="F101" s="7">
        <f t="shared" si="52"/>
        <v>1.6266322147080094E-2</v>
      </c>
      <c r="G101" s="2"/>
      <c r="H101" s="6">
        <v>-634.45000000000005</v>
      </c>
      <c r="I101" s="2"/>
      <c r="J101" s="7">
        <f t="shared" si="53"/>
        <v>-1.8560265205989839E-2</v>
      </c>
      <c r="K101" s="2"/>
      <c r="L101" s="6">
        <f t="shared" si="54"/>
        <v>1246.3499999999999</v>
      </c>
      <c r="M101" s="2"/>
      <c r="N101" s="7">
        <f t="shared" si="55"/>
        <v>-1.9644574040507523</v>
      </c>
      <c r="O101" s="11"/>
      <c r="P101" s="6">
        <v>2160.0500000000002</v>
      </c>
      <c r="Q101" s="2"/>
      <c r="R101" s="7">
        <f t="shared" si="56"/>
        <v>1.6074674660953145E-3</v>
      </c>
      <c r="S101" s="2"/>
      <c r="T101" s="6">
        <v>2053.85</v>
      </c>
      <c r="U101" s="2"/>
      <c r="V101" s="7">
        <f t="shared" si="57"/>
        <v>1.3287455441963957E-3</v>
      </c>
      <c r="W101" s="2"/>
      <c r="X101" s="6">
        <f t="shared" si="58"/>
        <v>106.20000000000027</v>
      </c>
      <c r="Y101" s="2"/>
      <c r="Z101" s="7">
        <f t="shared" si="59"/>
        <v>5.1707768337512609E-2</v>
      </c>
    </row>
    <row r="102" spans="1:26" s="28" customFormat="1" outlineLevel="1" collapsed="1" x14ac:dyDescent="0.25">
      <c r="A102" s="27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SUM(OSRRefD22_13x_0)</f>
        <v>0</v>
      </c>
      <c r="E102" s="1"/>
      <c r="F102" s="5">
        <f t="shared" ref="F102:F103" si="60">IF(D$12=0,0,D102/D$12)</f>
        <v>0</v>
      </c>
      <c r="G102" s="1"/>
      <c r="H102" s="1">
        <f>SUM(OSRRefH22_13x_0)</f>
        <v>0</v>
      </c>
      <c r="I102" s="1"/>
      <c r="J102" s="5">
        <f t="shared" ref="J102:J103" si="61">IF(H$12=0,0,H102/H$12)</f>
        <v>0</v>
      </c>
      <c r="K102" s="1"/>
      <c r="L102" s="1">
        <f t="shared" ref="L102:L103" si="62">+D102-H102</f>
        <v>0</v>
      </c>
      <c r="M102" s="1"/>
      <c r="N102" s="5">
        <f t="shared" ref="N102:N103" si="63">IF(H102=0,0,L102/H102)</f>
        <v>0</v>
      </c>
      <c r="O102" s="14"/>
      <c r="P102" s="1">
        <f>SUM(OSRRefP22_13x_0)</f>
        <v>0</v>
      </c>
      <c r="Q102" s="1"/>
      <c r="R102" s="5">
        <f t="shared" ref="R102:R103" si="64">IF(P$12=0,0,P102/P$12)</f>
        <v>0</v>
      </c>
      <c r="S102" s="1"/>
      <c r="T102" s="1">
        <f>SUM(OSRRefT22_13x_0)</f>
        <v>0.16</v>
      </c>
      <c r="U102" s="1"/>
      <c r="V102" s="5">
        <f t="shared" ref="V102:V103" si="65">IF(T$12=0,0,T102/T$12)</f>
        <v>1.0351256765168992E-7</v>
      </c>
      <c r="W102" s="1"/>
      <c r="X102" s="1">
        <f t="shared" ref="X102:X103" si="66">+P102-T102</f>
        <v>-0.16</v>
      </c>
      <c r="Y102" s="1"/>
      <c r="Z102" s="5">
        <f t="shared" ref="Z102:Z103" si="67">IF(T102=0,0,X102/T102)</f>
        <v>-1</v>
      </c>
    </row>
    <row r="103" spans="1:26" s="24" customFormat="1" hidden="1" outlineLevel="2" x14ac:dyDescent="0.25">
      <c r="A103" s="29"/>
      <c r="B103" s="11" t="str">
        <f>CONCATENATE("          ", "6292", " - ", "TRAVEL/CONFERENCE")</f>
        <v xml:space="preserve">          6292 - TRAVEL/CONFERENCE</v>
      </c>
      <c r="C103" s="11"/>
      <c r="D103" s="6"/>
      <c r="E103" s="2"/>
      <c r="F103" s="7">
        <f t="shared" si="60"/>
        <v>0</v>
      </c>
      <c r="G103" s="2"/>
      <c r="H103" s="6"/>
      <c r="I103" s="2"/>
      <c r="J103" s="7">
        <f t="shared" si="61"/>
        <v>0</v>
      </c>
      <c r="K103" s="2"/>
      <c r="L103" s="6">
        <f t="shared" si="62"/>
        <v>0</v>
      </c>
      <c r="M103" s="2"/>
      <c r="N103" s="7">
        <f t="shared" si="63"/>
        <v>0</v>
      </c>
      <c r="O103" s="11"/>
      <c r="P103" s="6"/>
      <c r="Q103" s="2"/>
      <c r="R103" s="7">
        <f t="shared" si="64"/>
        <v>0</v>
      </c>
      <c r="S103" s="2"/>
      <c r="T103" s="6">
        <v>0.16</v>
      </c>
      <c r="U103" s="2"/>
      <c r="V103" s="7">
        <f t="shared" si="65"/>
        <v>1.0351256765168992E-7</v>
      </c>
      <c r="W103" s="2"/>
      <c r="X103" s="6">
        <f t="shared" si="66"/>
        <v>-0.16</v>
      </c>
      <c r="Y103" s="2"/>
      <c r="Z103" s="7">
        <f t="shared" si="67"/>
        <v>-1</v>
      </c>
    </row>
    <row r="104" spans="1:26" s="56" customFormat="1" x14ac:dyDescent="0.25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5" t="s">
        <v>292</v>
      </c>
      <c r="C105" s="10"/>
      <c r="D105" s="4">
        <f>SUM(OSRRefD25x_0)</f>
        <v>1715.4099999999999</v>
      </c>
      <c r="E105" s="4"/>
      <c r="F105" s="12">
        <f t="shared" ref="F105:F108" si="68">IF(D$12=0,0,D105/D$12)</f>
        <v>4.5601261111820009E-2</v>
      </c>
      <c r="G105" s="4"/>
      <c r="H105" s="4">
        <f>SUM(OSRRefH25x_0)</f>
        <v>267.40999999999997</v>
      </c>
      <c r="I105" s="4"/>
      <c r="J105" s="12">
        <f t="shared" ref="J105:J108" si="69">IF(H$12=0,0,H105/H$12)</f>
        <v>7.822839496782634E-3</v>
      </c>
      <c r="K105" s="4"/>
      <c r="L105" s="4">
        <f t="shared" ref="L105:L108" si="70">+D105-H105</f>
        <v>1448</v>
      </c>
      <c r="M105" s="4"/>
      <c r="N105" s="12">
        <f t="shared" ref="N105:N108" si="71">IF(H105=0,0,L105/H105)</f>
        <v>5.4149059496653082</v>
      </c>
      <c r="O105" s="10"/>
      <c r="P105" s="4">
        <f>SUM(OSRRefP25x_0)</f>
        <v>189671.88999999998</v>
      </c>
      <c r="Q105" s="4"/>
      <c r="R105" s="12">
        <f t="shared" ref="R105:R108" si="72">IF(P$12=0,0,P105/P$12)</f>
        <v>0.14115015504632261</v>
      </c>
      <c r="S105" s="4"/>
      <c r="T105" s="4">
        <f>SUM(OSRRefT25x_0)</f>
        <v>161168.19</v>
      </c>
      <c r="U105" s="4"/>
      <c r="V105" s="12">
        <f t="shared" ref="V105:V108" si="73">IF(T$12=0,0,T105/T$12)</f>
        <v>0.10426833231672133</v>
      </c>
      <c r="W105" s="4"/>
      <c r="X105" s="4">
        <f t="shared" ref="X105:X108" si="74">+P105-T105</f>
        <v>28503.699999999983</v>
      </c>
      <c r="Y105" s="4"/>
      <c r="Z105" s="12">
        <f t="shared" ref="Z105:Z108" si="75">IF(T105=0,0,X105/T105)</f>
        <v>0.176856859905171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--1458.11</f>
        <v>1458.11</v>
      </c>
      <c r="E106" s="2"/>
      <c r="F106" s="19">
        <f t="shared" si="68"/>
        <v>3.876137765301349E-2</v>
      </c>
      <c r="G106" s="2"/>
      <c r="H106" s="2">
        <f>--5.33</f>
        <v>5.33</v>
      </c>
      <c r="I106" s="2"/>
      <c r="J106" s="19">
        <f t="shared" si="69"/>
        <v>1.5592436527374234E-4</v>
      </c>
      <c r="K106" s="2"/>
      <c r="L106" s="2">
        <f t="shared" si="70"/>
        <v>1452.78</v>
      </c>
      <c r="M106" s="2"/>
      <c r="N106" s="19">
        <f t="shared" si="71"/>
        <v>272.56660412757975</v>
      </c>
      <c r="O106" s="11"/>
      <c r="P106" s="2">
        <f>--19013.12</f>
        <v>19013.12</v>
      </c>
      <c r="Q106" s="2"/>
      <c r="R106" s="19">
        <f t="shared" si="72"/>
        <v>1.4149196467195731E-2</v>
      </c>
      <c r="S106" s="2"/>
      <c r="T106" s="2">
        <f>--11531.78</f>
        <v>11531.78</v>
      </c>
      <c r="U106" s="2"/>
      <c r="V106" s="19">
        <f t="shared" si="73"/>
        <v>7.4605259837150304E-3</v>
      </c>
      <c r="W106" s="2"/>
      <c r="X106" s="2">
        <f t="shared" si="74"/>
        <v>7481.3399999999983</v>
      </c>
      <c r="Y106" s="2"/>
      <c r="Z106" s="19">
        <f t="shared" si="75"/>
        <v>0.64875847440724654</v>
      </c>
    </row>
    <row r="107" spans="1:26" s="24" customFormat="1" hidden="1" outlineLevel="1" x14ac:dyDescent="0.25">
      <c r="A107" s="44"/>
      <c r="B107" s="11" t="str">
        <f>CONCATENATE("          ", "9151", " - ", "MISC. INCOME")</f>
        <v xml:space="preserve">          9151 - MISC. INCOME</v>
      </c>
      <c r="C107" s="11"/>
      <c r="D107" s="2">
        <f>0</f>
        <v>0</v>
      </c>
      <c r="E107" s="2"/>
      <c r="F107" s="19">
        <f t="shared" si="68"/>
        <v>0</v>
      </c>
      <c r="G107" s="2"/>
      <c r="H107" s="2">
        <f>0</f>
        <v>0</v>
      </c>
      <c r="I107" s="2"/>
      <c r="J107" s="19">
        <f t="shared" si="69"/>
        <v>0</v>
      </c>
      <c r="K107" s="2"/>
      <c r="L107" s="2">
        <f t="shared" si="70"/>
        <v>0</v>
      </c>
      <c r="M107" s="2"/>
      <c r="N107" s="19">
        <f t="shared" si="71"/>
        <v>0</v>
      </c>
      <c r="O107" s="11"/>
      <c r="P107" s="2">
        <f>--168463.36</f>
        <v>168463.35999999999</v>
      </c>
      <c r="Q107" s="2"/>
      <c r="R107" s="19">
        <f t="shared" si="72"/>
        <v>0.12536717688437893</v>
      </c>
      <c r="S107" s="2"/>
      <c r="T107" s="2">
        <f>--147285.39</f>
        <v>147285.39000000001</v>
      </c>
      <c r="U107" s="2"/>
      <c r="V107" s="19">
        <f t="shared" si="73"/>
        <v>9.5286805603003344E-2</v>
      </c>
      <c r="W107" s="2"/>
      <c r="X107" s="2">
        <f t="shared" si="74"/>
        <v>21177.969999999972</v>
      </c>
      <c r="Y107" s="2"/>
      <c r="Z107" s="19">
        <f t="shared" si="75"/>
        <v>0.14378866770152809</v>
      </c>
    </row>
    <row r="108" spans="1:26" s="24" customFormat="1" hidden="1" outlineLevel="1" x14ac:dyDescent="0.25">
      <c r="A108" s="44"/>
      <c r="B108" s="11" t="str">
        <f>CONCATENATE("          ", "9152", " - ", "MISC. INCOME")</f>
        <v xml:space="preserve">          9152 - MISC. INCOME</v>
      </c>
      <c r="C108" s="11"/>
      <c r="D108" s="2">
        <f>--257.3</f>
        <v>257.3</v>
      </c>
      <c r="E108" s="2"/>
      <c r="F108" s="19">
        <f t="shared" si="68"/>
        <v>6.8398834588065177E-3</v>
      </c>
      <c r="G108" s="2"/>
      <c r="H108" s="2">
        <f>--262.08</f>
        <v>262.08</v>
      </c>
      <c r="I108" s="2"/>
      <c r="J108" s="19">
        <f t="shared" si="69"/>
        <v>7.6669151315088913E-3</v>
      </c>
      <c r="K108" s="2"/>
      <c r="L108" s="2">
        <f t="shared" si="70"/>
        <v>-4.7799999999999727</v>
      </c>
      <c r="M108" s="2"/>
      <c r="N108" s="19">
        <f t="shared" si="71"/>
        <v>-1.8238705738705636E-2</v>
      </c>
      <c r="O108" s="11"/>
      <c r="P108" s="2">
        <f>--2195.41</f>
        <v>2195.41</v>
      </c>
      <c r="Q108" s="2"/>
      <c r="R108" s="19">
        <f t="shared" si="72"/>
        <v>1.633781694747952E-3</v>
      </c>
      <c r="S108" s="2"/>
      <c r="T108" s="2">
        <f>--2351.02</f>
        <v>2351.02</v>
      </c>
      <c r="U108" s="2"/>
      <c r="V108" s="19">
        <f t="shared" si="73"/>
        <v>1.5210007300029752E-3</v>
      </c>
      <c r="W108" s="2"/>
      <c r="X108" s="2">
        <f t="shared" si="74"/>
        <v>-155.61000000000013</v>
      </c>
      <c r="Y108" s="2"/>
      <c r="Z108" s="19">
        <f t="shared" si="75"/>
        <v>-6.61882927410231E-2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6" t="s">
        <v>276</v>
      </c>
      <c r="C110" s="26"/>
      <c r="D110" s="22">
        <f>+D55-D57+D105</f>
        <v>-32442.450000000044</v>
      </c>
      <c r="E110" s="13"/>
      <c r="F110" s="20">
        <f>IF(D$12=0,0,D110/D$12)</f>
        <v>-0.86242742758708824</v>
      </c>
      <c r="G110" s="13"/>
      <c r="H110" s="22">
        <f>+H55-H57+H105</f>
        <v>-33057.159999999974</v>
      </c>
      <c r="I110" s="13"/>
      <c r="J110" s="20">
        <f>IF(H$12=0,0,H110/H$12)</f>
        <v>-0.96705754047890069</v>
      </c>
      <c r="K110" s="15"/>
      <c r="L110" s="22">
        <f>+D110-H110</f>
        <v>614.70999999993001</v>
      </c>
      <c r="M110" s="15"/>
      <c r="N110" s="20">
        <f>IF(H110=0,0,L110/H110)</f>
        <v>-1.859536632910784E-2</v>
      </c>
      <c r="O110" s="25"/>
      <c r="P110" s="22">
        <f>+P55-P57+P105</f>
        <v>244248.29000000044</v>
      </c>
      <c r="Q110" s="13"/>
      <c r="R110" s="20">
        <f>IF(P$12=0,0,P110/P$12)</f>
        <v>0.18176485721368218</v>
      </c>
      <c r="S110" s="13"/>
      <c r="T110" s="22">
        <f>+T55-T57+T105</f>
        <v>430439.55999999953</v>
      </c>
      <c r="U110" s="13"/>
      <c r="V110" s="20">
        <f>IF(T$12=0,0,T110/T$12)</f>
        <v>0.27847440046539745</v>
      </c>
      <c r="W110" s="15"/>
      <c r="X110" s="22">
        <f>+P110-T110</f>
        <v>-186191.26999999909</v>
      </c>
      <c r="Y110" s="15"/>
      <c r="Z110" s="20">
        <f>IF(T110=0,0,X110/T110)</f>
        <v>-0.43256077577999402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127</v>
      </c>
      <c r="C112" s="10"/>
      <c r="D112" s="4">
        <v>-6341.03</v>
      </c>
      <c r="E112" s="4"/>
      <c r="F112" s="12">
        <f>IF(D$12=0,0,D112/D$12)</f>
        <v>-0.16856551188805244</v>
      </c>
      <c r="G112" s="4"/>
      <c r="H112" s="4">
        <v>54816.07</v>
      </c>
      <c r="I112" s="4"/>
      <c r="J112" s="12">
        <f>IF(H$12=0,0,H112/H$12)</f>
        <v>1.6035949196155779</v>
      </c>
      <c r="K112" s="4"/>
      <c r="L112" s="4">
        <f>+D112-H112</f>
        <v>-61157.1</v>
      </c>
      <c r="M112" s="4"/>
      <c r="N112" s="12">
        <f>IF(H112=0,0,L112/H112)</f>
        <v>-1.1156783038258671</v>
      </c>
      <c r="O112" s="10"/>
      <c r="P112" s="4">
        <v>155327.51999999999</v>
      </c>
      <c r="Q112" s="4"/>
      <c r="R112" s="12">
        <f>IF(P$12=0,0,P112/P$12)</f>
        <v>0.11559173861219381</v>
      </c>
      <c r="S112" s="4"/>
      <c r="T112" s="4">
        <v>334833.21000000002</v>
      </c>
      <c r="U112" s="4"/>
      <c r="V112" s="12">
        <f>IF(T$12=0,0,T112/T$12)</f>
        <v>0.21662153313848437</v>
      </c>
      <c r="W112" s="4"/>
      <c r="X112" s="4">
        <f>+P112-T112</f>
        <v>-179505.69000000003</v>
      </c>
      <c r="Y112" s="4"/>
      <c r="Z112" s="12">
        <f>IF(T112=0,0,X112/T112)</f>
        <v>-0.53610479677329503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125</v>
      </c>
      <c r="C114" s="26"/>
      <c r="D114" s="33">
        <f>+D110-D112</f>
        <v>-26101.420000000046</v>
      </c>
      <c r="E114" s="13"/>
      <c r="F114" s="31">
        <f>IF(D$12=0,0,D114/D$12)</f>
        <v>-0.69386191569903588</v>
      </c>
      <c r="G114" s="13"/>
      <c r="H114" s="33">
        <f>+H110-H112</f>
        <v>-87873.229999999981</v>
      </c>
      <c r="I114" s="13"/>
      <c r="J114" s="31">
        <f>IF(H$12=0,0,H114/H$12)</f>
        <v>-2.5706524600944785</v>
      </c>
      <c r="K114" s="15"/>
      <c r="L114" s="33">
        <f>D114-H114</f>
        <v>61771.809999999939</v>
      </c>
      <c r="M114" s="15"/>
      <c r="N114" s="31">
        <f>IF(H114=0,0,L114/H114)</f>
        <v>-0.70296505545545496</v>
      </c>
      <c r="O114" s="25"/>
      <c r="P114" s="33">
        <f>+P110-P112</f>
        <v>88920.770000000455</v>
      </c>
      <c r="Q114" s="13"/>
      <c r="R114" s="31">
        <f>IF(P$12=0,0,P114/P$12)</f>
        <v>6.6173118601488376E-2</v>
      </c>
      <c r="S114" s="13"/>
      <c r="T114" s="33">
        <f>+T110-T112</f>
        <v>95606.349999999511</v>
      </c>
      <c r="U114" s="13"/>
      <c r="V114" s="31">
        <f>IF(T$12=0,0,T114/T$12)</f>
        <v>6.1852867326913086E-2</v>
      </c>
      <c r="W114" s="15"/>
      <c r="X114" s="33">
        <f>P114-T114</f>
        <v>-6685.5799999990559</v>
      </c>
      <c r="Y114" s="15"/>
      <c r="Z114" s="31">
        <f>IF(T114=0,0,X114/T114)</f>
        <v>-6.9928200375802343E-2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6" t="s">
        <v>293</v>
      </c>
      <c r="C117" s="26"/>
      <c r="D117" s="34">
        <f>SUM(D114:D116)</f>
        <v>-26101.420000000046</v>
      </c>
      <c r="E117" s="13"/>
      <c r="F117" s="30">
        <f>IF(D$12=0,0,D117/D$12)</f>
        <v>-0.69386191569903588</v>
      </c>
      <c r="G117" s="13"/>
      <c r="H117" s="34">
        <f>SUM(H114:H116)</f>
        <v>-87873.229999999981</v>
      </c>
      <c r="I117" s="13"/>
      <c r="J117" s="30">
        <f>IF(H$12=0,0,H117/H$12)</f>
        <v>-2.5706524600944785</v>
      </c>
      <c r="K117" s="15"/>
      <c r="L117" s="34">
        <f>+D117-H117</f>
        <v>61771.809999999939</v>
      </c>
      <c r="M117" s="15"/>
      <c r="N117" s="30">
        <f>IF(H117=0,0,L117/H117)</f>
        <v>-0.70296505545545496</v>
      </c>
      <c r="O117" s="25"/>
      <c r="P117" s="34">
        <f>SUM(P114:P116)</f>
        <v>88920.770000000455</v>
      </c>
      <c r="Q117" s="13"/>
      <c r="R117" s="30">
        <f>IF(P$12=0,0,P117/P$12)</f>
        <v>6.6173118601488376E-2</v>
      </c>
      <c r="S117" s="13"/>
      <c r="T117" s="34">
        <f>SUM(T114:T116)</f>
        <v>95606.349999999511</v>
      </c>
      <c r="U117" s="13"/>
      <c r="V117" s="30">
        <f>IF(T$12=0,0,T117/T$12)</f>
        <v>6.1852867326913086E-2</v>
      </c>
      <c r="W117" s="15"/>
      <c r="X117" s="34">
        <f>+P117-T117</f>
        <v>-6685.5799999990559</v>
      </c>
      <c r="Y117" s="15"/>
      <c r="Z117" s="30">
        <f>IF(T117=0,0,X117/T117)</f>
        <v>-6.9928200375802343E-2</v>
      </c>
    </row>
    <row r="118" spans="1:26" ht="15.75" thickTop="1" x14ac:dyDescent="0.25">
      <c r="A118" s="9"/>
      <c r="C118" s="9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1">
        <v>44517.966986307867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7" t="s">
        <v>56</v>
      </c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8"/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34739.469999999994</v>
      </c>
      <c r="E12" s="4"/>
      <c r="F12" s="12"/>
      <c r="G12" s="4"/>
      <c r="H12" s="4">
        <f>SUM(OSRRefH13x_0)</f>
        <v>31874.179999999997</v>
      </c>
      <c r="I12" s="4"/>
      <c r="J12" s="12"/>
      <c r="K12" s="4"/>
      <c r="L12" s="4">
        <f t="shared" ref="L12:L36" si="0">+D12-H12</f>
        <v>2865.2899999999972</v>
      </c>
      <c r="M12" s="4"/>
      <c r="N12" s="12">
        <f t="shared" ref="N12:N36" si="1">IF(H12=0,0,L12/H12)</f>
        <v>8.9893763541524757E-2</v>
      </c>
      <c r="O12" s="10"/>
      <c r="P12" s="4">
        <f>SUM(OSRRefP13x_0)</f>
        <v>1008112.1599999999</v>
      </c>
      <c r="Q12" s="4"/>
      <c r="R12" s="12"/>
      <c r="S12" s="4"/>
      <c r="T12" s="4">
        <f>SUM(OSRRefT13x_0)</f>
        <v>1075665.5799999996</v>
      </c>
      <c r="U12" s="4"/>
      <c r="V12" s="12"/>
      <c r="W12" s="4"/>
      <c r="X12" s="4">
        <f t="shared" ref="X12:X36" si="2">+P12-T12</f>
        <v>-67553.419999999693</v>
      </c>
      <c r="Y12" s="4"/>
      <c r="Z12" s="12">
        <f t="shared" ref="Z12:Z36" si="3">IF(T12=0,0,X12/T12)</f>
        <v>-6.2801507509424745E-2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--24053.59</f>
        <v>24053.59</v>
      </c>
      <c r="E13" s="2"/>
      <c r="F13" s="19"/>
      <c r="G13" s="2"/>
      <c r="H13" s="2">
        <f>-1377.28</f>
        <v>-1377.28</v>
      </c>
      <c r="I13" s="2"/>
      <c r="J13" s="19"/>
      <c r="K13" s="2"/>
      <c r="L13" s="2">
        <f t="shared" si="0"/>
        <v>25430.87</v>
      </c>
      <c r="M13" s="2"/>
      <c r="N13" s="19">
        <f t="shared" si="1"/>
        <v>-18.464560583178439</v>
      </c>
      <c r="O13" s="11"/>
      <c r="P13" s="2">
        <f>--769988.84</f>
        <v>769988.84</v>
      </c>
      <c r="Q13" s="2"/>
      <c r="R13" s="19"/>
      <c r="S13" s="2"/>
      <c r="T13" s="2">
        <f>-6370.82</f>
        <v>-6370.82</v>
      </c>
      <c r="U13" s="2"/>
      <c r="V13" s="19"/>
      <c r="W13" s="2"/>
      <c r="X13" s="2">
        <f t="shared" si="2"/>
        <v>776359.65999999992</v>
      </c>
      <c r="Y13" s="2"/>
      <c r="Z13" s="19">
        <f t="shared" si="3"/>
        <v>-121.86181056755645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--16356.63</f>
        <v>16356.63</v>
      </c>
      <c r="I14" s="2"/>
      <c r="J14" s="19"/>
      <c r="K14" s="2"/>
      <c r="L14" s="2">
        <f t="shared" si="0"/>
        <v>-16356.63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--540098.61</f>
        <v>540098.61</v>
      </c>
      <c r="U14" s="2"/>
      <c r="V14" s="19"/>
      <c r="W14" s="2"/>
      <c r="X14" s="2">
        <f t="shared" si="2"/>
        <v>-540098.61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--1584.65</f>
        <v>1584.65</v>
      </c>
      <c r="I15" s="2"/>
      <c r="J15" s="19"/>
      <c r="K15" s="2"/>
      <c r="L15" s="2">
        <f t="shared" si="0"/>
        <v>-1584.65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--185807.84</f>
        <v>185807.84</v>
      </c>
      <c r="U15" s="2"/>
      <c r="V15" s="19"/>
      <c r="W15" s="2"/>
      <c r="X15" s="2">
        <f t="shared" si="2"/>
        <v>-185807.84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--70</f>
        <v>70</v>
      </c>
      <c r="I16" s="2"/>
      <c r="J16" s="19"/>
      <c r="K16" s="2"/>
      <c r="L16" s="2">
        <f t="shared" si="0"/>
        <v>-70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--354.45</f>
        <v>354.45</v>
      </c>
      <c r="I17" s="2"/>
      <c r="J17" s="19"/>
      <c r="K17" s="2"/>
      <c r="L17" s="2">
        <f t="shared" si="0"/>
        <v>-354.45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--157.47</f>
        <v>157.47</v>
      </c>
      <c r="I18" s="2"/>
      <c r="J18" s="19"/>
      <c r="K18" s="2"/>
      <c r="L18" s="2">
        <f t="shared" si="0"/>
        <v>-157.47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--197.37</f>
        <v>197.37</v>
      </c>
      <c r="U18" s="2"/>
      <c r="V18" s="19"/>
      <c r="W18" s="2"/>
      <c r="X18" s="2">
        <f t="shared" si="2"/>
        <v>-197.37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--35.8</f>
        <v>35.799999999999997</v>
      </c>
      <c r="I19" s="2"/>
      <c r="J19" s="19"/>
      <c r="K19" s="2"/>
      <c r="L19" s="2">
        <f t="shared" si="0"/>
        <v>-35.799999999999997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ref="H20:H21" si="6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--21004.56</f>
        <v>21004.560000000001</v>
      </c>
      <c r="E21" s="2"/>
      <c r="F21" s="19"/>
      <c r="G21" s="2"/>
      <c r="H21" s="2">
        <f t="shared" si="6"/>
        <v>0</v>
      </c>
      <c r="I21" s="2"/>
      <c r="J21" s="19"/>
      <c r="K21" s="2"/>
      <c r="L21" s="2">
        <f t="shared" si="0"/>
        <v>21004.560000000001</v>
      </c>
      <c r="M21" s="2"/>
      <c r="N21" s="19">
        <f t="shared" si="1"/>
        <v>0</v>
      </c>
      <c r="O21" s="11"/>
      <c r="P21" s="2">
        <f>--291894.34</f>
        <v>291894.34000000003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291894.34000000003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7">0</f>
        <v>0</v>
      </c>
      <c r="E22" s="2"/>
      <c r="F22" s="19"/>
      <c r="G22" s="2"/>
      <c r="H22" s="2">
        <f>--7260.05</f>
        <v>7260.05</v>
      </c>
      <c r="I22" s="2"/>
      <c r="J22" s="19"/>
      <c r="K22" s="2"/>
      <c r="L22" s="2">
        <f t="shared" si="0"/>
        <v>-7260.05</v>
      </c>
      <c r="M22" s="2"/>
      <c r="N22" s="19">
        <f t="shared" si="1"/>
        <v>-1</v>
      </c>
      <c r="O22" s="11"/>
      <c r="P22" s="2">
        <f t="shared" ref="P22:P27" si="8">0</f>
        <v>0</v>
      </c>
      <c r="Q22" s="2"/>
      <c r="R22" s="19"/>
      <c r="S22" s="2"/>
      <c r="T22" s="2">
        <f>--77664.89</f>
        <v>77664.89</v>
      </c>
      <c r="U22" s="2"/>
      <c r="V22" s="19"/>
      <c r="W22" s="2"/>
      <c r="X22" s="2">
        <f t="shared" si="2"/>
        <v>-77664.89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7"/>
        <v>0</v>
      </c>
      <c r="E23" s="2"/>
      <c r="F23" s="19"/>
      <c r="G23" s="2"/>
      <c r="H23" s="2">
        <f>--2341.65</f>
        <v>2341.65</v>
      </c>
      <c r="I23" s="2"/>
      <c r="J23" s="19"/>
      <c r="K23" s="2"/>
      <c r="L23" s="2">
        <f t="shared" si="0"/>
        <v>-2341.65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--32712.47</f>
        <v>32712.47</v>
      </c>
      <c r="U23" s="2"/>
      <c r="V23" s="19"/>
      <c r="W23" s="2"/>
      <c r="X23" s="2">
        <f t="shared" si="2"/>
        <v>-32712.47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7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7"/>
        <v>0</v>
      </c>
      <c r="E25" s="2"/>
      <c r="F25" s="19"/>
      <c r="G25" s="2"/>
      <c r="H25" s="2">
        <f>--6767.67</f>
        <v>6767.67</v>
      </c>
      <c r="I25" s="2"/>
      <c r="J25" s="19"/>
      <c r="K25" s="2"/>
      <c r="L25" s="2">
        <f t="shared" si="0"/>
        <v>-6767.67</v>
      </c>
      <c r="M25" s="2"/>
      <c r="N25" s="19">
        <f t="shared" si="1"/>
        <v>-1</v>
      </c>
      <c r="O25" s="11"/>
      <c r="P25" s="2">
        <f t="shared" si="8"/>
        <v>0</v>
      </c>
      <c r="Q25" s="2"/>
      <c r="R25" s="19"/>
      <c r="S25" s="2"/>
      <c r="T25" s="2">
        <f>--293475.52</f>
        <v>293475.52</v>
      </c>
      <c r="U25" s="2"/>
      <c r="V25" s="19"/>
      <c r="W25" s="2"/>
      <c r="X25" s="2">
        <f t="shared" si="2"/>
        <v>-293475.52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7"/>
        <v>0</v>
      </c>
      <c r="E26" s="2"/>
      <c r="F26" s="19"/>
      <c r="G26" s="2"/>
      <c r="H26" s="2">
        <f>--1655.95</f>
        <v>1655.95</v>
      </c>
      <c r="I26" s="2"/>
      <c r="J26" s="19"/>
      <c r="K26" s="2"/>
      <c r="L26" s="2">
        <f t="shared" si="0"/>
        <v>-1655.95</v>
      </c>
      <c r="M26" s="2"/>
      <c r="N26" s="19">
        <f t="shared" si="1"/>
        <v>-1</v>
      </c>
      <c r="O26" s="11"/>
      <c r="P26" s="2">
        <f t="shared" si="8"/>
        <v>0</v>
      </c>
      <c r="Q26" s="2"/>
      <c r="R26" s="19"/>
      <c r="S26" s="2"/>
      <c r="T26" s="2">
        <f>--1655.95</f>
        <v>1655.95</v>
      </c>
      <c r="U26" s="2"/>
      <c r="V26" s="19"/>
      <c r="W26" s="2"/>
      <c r="X26" s="2">
        <f t="shared" si="2"/>
        <v>-1655.95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7"/>
        <v>0</v>
      </c>
      <c r="E27" s="2"/>
      <c r="F27" s="19"/>
      <c r="G27" s="2"/>
      <c r="H27" s="2">
        <f>--97.3</f>
        <v>97.3</v>
      </c>
      <c r="I27" s="2"/>
      <c r="J27" s="19"/>
      <c r="K27" s="2"/>
      <c r="L27" s="2">
        <f t="shared" si="0"/>
        <v>-97.3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--205.63</f>
        <v>205.63</v>
      </c>
      <c r="U27" s="2"/>
      <c r="V27" s="19"/>
      <c r="W27" s="2"/>
      <c r="X27" s="2">
        <f t="shared" si="2"/>
        <v>-205.63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"4200", " - ", "TAXABLE RETURNS")</f>
        <v xml:space="preserve">          4200 - TAXABLE RETURNS</v>
      </c>
      <c r="C28" s="11"/>
      <c r="D28" s="2">
        <f>-4428.05</f>
        <v>-4428.05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-4428.05</v>
      </c>
      <c r="M28" s="2"/>
      <c r="N28" s="19">
        <f t="shared" si="1"/>
        <v>0</v>
      </c>
      <c r="O28" s="11"/>
      <c r="P28" s="2">
        <f>-28333.13</f>
        <v>-28333.13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-28333.13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9">0</f>
        <v>0</v>
      </c>
      <c r="E29" s="2"/>
      <c r="F29" s="19"/>
      <c r="G29" s="2"/>
      <c r="H29" s="2">
        <f>-1512.25</f>
        <v>-1512.25</v>
      </c>
      <c r="I29" s="2"/>
      <c r="J29" s="19"/>
      <c r="K29" s="2"/>
      <c r="L29" s="2">
        <f t="shared" si="0"/>
        <v>1512.25</v>
      </c>
      <c r="M29" s="2"/>
      <c r="N29" s="19">
        <f t="shared" si="1"/>
        <v>-1</v>
      </c>
      <c r="O29" s="11"/>
      <c r="P29" s="2">
        <f t="shared" ref="P29:P31" si="10">0</f>
        <v>0</v>
      </c>
      <c r="Q29" s="2"/>
      <c r="R29" s="19"/>
      <c r="S29" s="2"/>
      <c r="T29" s="2">
        <f>-33761.24</f>
        <v>-33761.24</v>
      </c>
      <c r="U29" s="2"/>
      <c r="V29" s="19"/>
      <c r="W29" s="2"/>
      <c r="X29" s="2">
        <f t="shared" si="2"/>
        <v>33761.24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9"/>
        <v>0</v>
      </c>
      <c r="E30" s="2"/>
      <c r="F30" s="19"/>
      <c r="G30" s="2"/>
      <c r="H30" s="2">
        <f>-136.05</f>
        <v>-136.05000000000001</v>
      </c>
      <c r="I30" s="2"/>
      <c r="J30" s="19"/>
      <c r="K30" s="2"/>
      <c r="L30" s="2">
        <f t="shared" si="0"/>
        <v>136.05000000000001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-10529</f>
        <v>-10529</v>
      </c>
      <c r="U30" s="2"/>
      <c r="V30" s="19"/>
      <c r="W30" s="2"/>
      <c r="X30" s="2">
        <f t="shared" si="2"/>
        <v>10529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9"/>
        <v>0</v>
      </c>
      <c r="E31" s="2"/>
      <c r="F31" s="19"/>
      <c r="G31" s="2"/>
      <c r="H31" s="2">
        <f>-383.9</f>
        <v>-383.9</v>
      </c>
      <c r="I31" s="2"/>
      <c r="J31" s="19"/>
      <c r="K31" s="2"/>
      <c r="L31" s="2">
        <f t="shared" si="0"/>
        <v>383.9</v>
      </c>
      <c r="M31" s="2"/>
      <c r="N31" s="19">
        <f t="shared" si="1"/>
        <v>-1</v>
      </c>
      <c r="O31" s="11"/>
      <c r="P31" s="2">
        <f t="shared" si="10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"4300", " - ", "NON-TAX RETURNS")</f>
        <v xml:space="preserve">          4300 - NON-TAX RETURNS</v>
      </c>
      <c r="C32" s="11"/>
      <c r="D32" s="2">
        <f>-5357.9</f>
        <v>-5357.9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-5357.9</v>
      </c>
      <c r="M32" s="2"/>
      <c r="N32" s="19">
        <f t="shared" si="1"/>
        <v>0</v>
      </c>
      <c r="O32" s="11"/>
      <c r="P32" s="2">
        <f>-24905.16</f>
        <v>-24905.16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-24905.16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1">0</f>
        <v>0</v>
      </c>
      <c r="E33" s="2"/>
      <c r="F33" s="19"/>
      <c r="G33" s="2"/>
      <c r="H33" s="2">
        <f>-535.49</f>
        <v>-535.49</v>
      </c>
      <c r="I33" s="2"/>
      <c r="J33" s="19"/>
      <c r="K33" s="2"/>
      <c r="L33" s="2">
        <f t="shared" si="0"/>
        <v>535.49</v>
      </c>
      <c r="M33" s="2"/>
      <c r="N33" s="19">
        <f t="shared" si="1"/>
        <v>-1</v>
      </c>
      <c r="O33" s="11"/>
      <c r="P33" s="2">
        <f t="shared" ref="P33:P35" si="12">0</f>
        <v>0</v>
      </c>
      <c r="Q33" s="2"/>
      <c r="R33" s="19"/>
      <c r="S33" s="2"/>
      <c r="T33" s="2">
        <f>-2376.17</f>
        <v>-2376.17</v>
      </c>
      <c r="U33" s="2"/>
      <c r="V33" s="19"/>
      <c r="W33" s="2"/>
      <c r="X33" s="2">
        <f t="shared" si="2"/>
        <v>2376.17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1"/>
        <v>0</v>
      </c>
      <c r="E34" s="2"/>
      <c r="F34" s="19"/>
      <c r="G34" s="2"/>
      <c r="H34" s="2">
        <f>-169.72</f>
        <v>-169.72</v>
      </c>
      <c r="I34" s="2"/>
      <c r="J34" s="19"/>
      <c r="K34" s="2"/>
      <c r="L34" s="2">
        <f t="shared" si="0"/>
        <v>169.72</v>
      </c>
      <c r="M34" s="2"/>
      <c r="N34" s="19">
        <f t="shared" si="1"/>
        <v>-1</v>
      </c>
      <c r="O34" s="11"/>
      <c r="P34" s="2">
        <f t="shared" si="12"/>
        <v>0</v>
      </c>
      <c r="Q34" s="2"/>
      <c r="R34" s="19"/>
      <c r="S34" s="2"/>
      <c r="T34" s="2">
        <f>-1316.8</f>
        <v>-1316.8</v>
      </c>
      <c r="U34" s="2"/>
      <c r="V34" s="19"/>
      <c r="W34" s="2"/>
      <c r="X34" s="2">
        <f t="shared" si="2"/>
        <v>1316.8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1"/>
        <v>0</v>
      </c>
      <c r="E35" s="2"/>
      <c r="F35" s="19"/>
      <c r="G35" s="2"/>
      <c r="H35" s="2">
        <f>-692.75</f>
        <v>-692.75</v>
      </c>
      <c r="I35" s="2"/>
      <c r="J35" s="19"/>
      <c r="K35" s="2"/>
      <c r="L35" s="2">
        <f t="shared" si="0"/>
        <v>692.75</v>
      </c>
      <c r="M35" s="2"/>
      <c r="N35" s="19">
        <f t="shared" si="1"/>
        <v>-1</v>
      </c>
      <c r="O35" s="11"/>
      <c r="P35" s="2">
        <f t="shared" si="12"/>
        <v>0</v>
      </c>
      <c r="Q35" s="2"/>
      <c r="R35" s="19"/>
      <c r="S35" s="2"/>
      <c r="T35" s="2">
        <f>-14102.11</f>
        <v>-14102.11</v>
      </c>
      <c r="U35" s="2"/>
      <c r="V35" s="19"/>
      <c r="W35" s="2"/>
      <c r="X35" s="2">
        <f t="shared" si="2"/>
        <v>14102.11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"4500", " - ", "SALES DISCOUNT")</f>
        <v xml:space="preserve">          4500 - SALES DISCOUNT</v>
      </c>
      <c r="C36" s="11"/>
      <c r="D36" s="2">
        <f>-532.73</f>
        <v>-532.73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-532.73</v>
      </c>
      <c r="M36" s="2"/>
      <c r="N36" s="19">
        <f t="shared" si="1"/>
        <v>0</v>
      </c>
      <c r="O36" s="11"/>
      <c r="P36" s="2">
        <f>-532.73</f>
        <v>-532.73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-532.73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5" t="s">
        <v>256</v>
      </c>
      <c r="C38" s="10"/>
      <c r="D38" s="4">
        <f>SUM(OSRRefD16x_0)</f>
        <v>21877.63</v>
      </c>
      <c r="E38" s="4"/>
      <c r="F38" s="12">
        <f t="shared" ref="F38:F53" si="13">IF(D$12=0,0,D38/D$12)</f>
        <v>0.62976291808712126</v>
      </c>
      <c r="G38" s="4"/>
      <c r="H38" s="4">
        <f>SUM(OSRRefH16x_0)</f>
        <v>24961.999999999985</v>
      </c>
      <c r="I38" s="4"/>
      <c r="J38" s="12">
        <f t="shared" ref="J38:J53" si="14">IF(H$12=0,0,H38/H$12)</f>
        <v>0.78314171533197052</v>
      </c>
      <c r="K38" s="4"/>
      <c r="L38" s="4">
        <f t="shared" ref="L38:L53" si="15">+D38-H38</f>
        <v>-3084.3699999999844</v>
      </c>
      <c r="M38" s="4"/>
      <c r="N38" s="12">
        <f t="shared" ref="N38:N53" si="16">IF(H38=0,0,L38/H38)</f>
        <v>-0.12356261517506555</v>
      </c>
      <c r="O38" s="10"/>
      <c r="P38" s="4">
        <f>SUM(OSRRefP16x_0)</f>
        <v>843417.87</v>
      </c>
      <c r="Q38" s="4"/>
      <c r="R38" s="12">
        <f t="shared" ref="R38:R53" si="17">IF(P$12=0,0,P38/P$12)</f>
        <v>0.83663098558398508</v>
      </c>
      <c r="S38" s="4"/>
      <c r="T38" s="4">
        <f>SUM(OSRRefT16x_0)</f>
        <v>762930.99999999988</v>
      </c>
      <c r="U38" s="4"/>
      <c r="V38" s="12">
        <f t="shared" ref="V38:V53" si="18">IF(T$12=0,0,T38/T$12)</f>
        <v>0.70926411905826736</v>
      </c>
      <c r="W38" s="4"/>
      <c r="X38" s="4">
        <f t="shared" ref="X38:X53" si="19">+P38-T38</f>
        <v>80486.870000000112</v>
      </c>
      <c r="Y38" s="4"/>
      <c r="Z38" s="12">
        <f t="shared" ref="Z38:Z53" si="20">IF(T38=0,0,X38/T38)</f>
        <v>0.10549691911850498</v>
      </c>
    </row>
    <row r="39" spans="1:26" s="24" customFormat="1" hidden="1" outlineLevel="1" x14ac:dyDescent="0.25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273844.96999999997</v>
      </c>
      <c r="E39" s="2"/>
      <c r="F39" s="19">
        <f t="shared" si="13"/>
        <v>7.8828194557948068</v>
      </c>
      <c r="G39" s="2"/>
      <c r="H39" s="2">
        <v>0</v>
      </c>
      <c r="I39" s="2"/>
      <c r="J39" s="19">
        <f t="shared" si="14"/>
        <v>0</v>
      </c>
      <c r="K39" s="2"/>
      <c r="L39" s="2">
        <f t="shared" si="15"/>
        <v>273844.96999999997</v>
      </c>
      <c r="M39" s="2"/>
      <c r="N39" s="19">
        <f t="shared" si="16"/>
        <v>0</v>
      </c>
      <c r="O39" s="11"/>
      <c r="P39" s="2">
        <v>1290391.81</v>
      </c>
      <c r="Q39" s="2"/>
      <c r="R39" s="19">
        <f t="shared" si="17"/>
        <v>1.2800081788518454</v>
      </c>
      <c r="S39" s="2"/>
      <c r="T39" s="2">
        <v>0</v>
      </c>
      <c r="U39" s="2"/>
      <c r="V39" s="19">
        <f t="shared" si="18"/>
        <v>0</v>
      </c>
      <c r="W39" s="2"/>
      <c r="X39" s="2">
        <f t="shared" si="19"/>
        <v>1290391.81</v>
      </c>
      <c r="Y39" s="2"/>
      <c r="Z39" s="19">
        <f t="shared" si="20"/>
        <v>0</v>
      </c>
    </row>
    <row r="40" spans="1:26" s="24" customFormat="1" hidden="1" outlineLevel="1" x14ac:dyDescent="0.25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>
        <v>0</v>
      </c>
      <c r="E40" s="2"/>
      <c r="F40" s="19">
        <f t="shared" si="13"/>
        <v>0</v>
      </c>
      <c r="G40" s="2"/>
      <c r="H40" s="2">
        <v>54515.57</v>
      </c>
      <c r="I40" s="2"/>
      <c r="J40" s="19">
        <f t="shared" si="14"/>
        <v>1.7103363913989318</v>
      </c>
      <c r="K40" s="2"/>
      <c r="L40" s="2">
        <f t="shared" si="15"/>
        <v>-54515.57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1144744.97</v>
      </c>
      <c r="U40" s="2"/>
      <c r="V40" s="19">
        <f t="shared" si="18"/>
        <v>1.0642201361504944</v>
      </c>
      <c r="W40" s="2"/>
      <c r="X40" s="2">
        <f t="shared" si="19"/>
        <v>-1144744.97</v>
      </c>
      <c r="Y40" s="2"/>
      <c r="Z40" s="19">
        <f t="shared" si="20"/>
        <v>-1</v>
      </c>
    </row>
    <row r="41" spans="1:26" s="24" customFormat="1" hidden="1" outlineLevel="1" x14ac:dyDescent="0.25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3"/>
        <v>0</v>
      </c>
      <c r="G41" s="2"/>
      <c r="H41" s="2">
        <v>6331.95</v>
      </c>
      <c r="I41" s="2"/>
      <c r="J41" s="19">
        <f t="shared" si="14"/>
        <v>0.19865452224967045</v>
      </c>
      <c r="K41" s="2"/>
      <c r="L41" s="2">
        <f t="shared" si="15"/>
        <v>-6331.95</v>
      </c>
      <c r="M41" s="2"/>
      <c r="N41" s="19">
        <f t="shared" si="16"/>
        <v>-1</v>
      </c>
      <c r="O41" s="11"/>
      <c r="P41" s="2">
        <v>0</v>
      </c>
      <c r="Q41" s="2"/>
      <c r="R41" s="19">
        <f t="shared" si="17"/>
        <v>0</v>
      </c>
      <c r="S41" s="2"/>
      <c r="T41" s="2">
        <v>163728.85</v>
      </c>
      <c r="U41" s="2"/>
      <c r="V41" s="19">
        <f t="shared" si="18"/>
        <v>0.15221166600868652</v>
      </c>
      <c r="W41" s="2"/>
      <c r="X41" s="2">
        <f t="shared" si="19"/>
        <v>-163728.85</v>
      </c>
      <c r="Y41" s="2"/>
      <c r="Z41" s="19">
        <f t="shared" si="20"/>
        <v>-1</v>
      </c>
    </row>
    <row r="42" spans="1:26" s="24" customFormat="1" hidden="1" outlineLevel="1" x14ac:dyDescent="0.25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3"/>
        <v>0</v>
      </c>
      <c r="G42" s="2"/>
      <c r="H42" s="2">
        <v>10600.69</v>
      </c>
      <c r="I42" s="2"/>
      <c r="J42" s="19">
        <f t="shared" si="14"/>
        <v>0.33257922243019278</v>
      </c>
      <c r="K42" s="2"/>
      <c r="L42" s="2">
        <f t="shared" si="15"/>
        <v>-10600.69</v>
      </c>
      <c r="M42" s="2"/>
      <c r="N42" s="19">
        <f t="shared" si="16"/>
        <v>-1</v>
      </c>
      <c r="O42" s="11"/>
      <c r="P42" s="2"/>
      <c r="Q42" s="2"/>
      <c r="R42" s="19">
        <f t="shared" si="17"/>
        <v>0</v>
      </c>
      <c r="S42" s="2"/>
      <c r="T42" s="2">
        <v>-485.41</v>
      </c>
      <c r="U42" s="2"/>
      <c r="V42" s="19">
        <f t="shared" si="18"/>
        <v>-4.5126478807660668E-4</v>
      </c>
      <c r="W42" s="2"/>
      <c r="X42" s="2">
        <f t="shared" si="19"/>
        <v>485.41</v>
      </c>
      <c r="Y42" s="2"/>
      <c r="Z42" s="19">
        <f t="shared" si="20"/>
        <v>-1</v>
      </c>
    </row>
    <row r="43" spans="1:26" s="24" customFormat="1" hidden="1" outlineLevel="1" x14ac:dyDescent="0.25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3"/>
        <v>0</v>
      </c>
      <c r="G43" s="2"/>
      <c r="H43" s="2">
        <v>12903.46</v>
      </c>
      <c r="I43" s="2"/>
      <c r="J43" s="19">
        <f t="shared" si="14"/>
        <v>0.40482484569014798</v>
      </c>
      <c r="K43" s="2"/>
      <c r="L43" s="2">
        <f t="shared" si="15"/>
        <v>-12903.46</v>
      </c>
      <c r="M43" s="2"/>
      <c r="N43" s="19">
        <f t="shared" si="16"/>
        <v>-1</v>
      </c>
      <c r="O43" s="11"/>
      <c r="P43" s="2">
        <v>0</v>
      </c>
      <c r="Q43" s="2"/>
      <c r="R43" s="19">
        <f t="shared" si="17"/>
        <v>0</v>
      </c>
      <c r="S43" s="2"/>
      <c r="T43" s="2">
        <v>195519.53</v>
      </c>
      <c r="U43" s="2"/>
      <c r="V43" s="19">
        <f t="shared" si="18"/>
        <v>0.1817660931383526</v>
      </c>
      <c r="W43" s="2"/>
      <c r="X43" s="2">
        <f t="shared" si="19"/>
        <v>-195519.53</v>
      </c>
      <c r="Y43" s="2"/>
      <c r="Z43" s="19">
        <f t="shared" si="20"/>
        <v>-1</v>
      </c>
    </row>
    <row r="44" spans="1:26" s="24" customFormat="1" hidden="1" outlineLevel="1" x14ac:dyDescent="0.25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3"/>
        <v>0</v>
      </c>
      <c r="G44" s="2"/>
      <c r="H44" s="2">
        <v>67.17</v>
      </c>
      <c r="I44" s="2"/>
      <c r="J44" s="19">
        <f t="shared" si="14"/>
        <v>2.1073483302158679E-3</v>
      </c>
      <c r="K44" s="2"/>
      <c r="L44" s="2">
        <f t="shared" si="15"/>
        <v>-67.17</v>
      </c>
      <c r="M44" s="2"/>
      <c r="N44" s="19">
        <f t="shared" si="16"/>
        <v>-1</v>
      </c>
      <c r="O44" s="11"/>
      <c r="P44" s="2"/>
      <c r="Q44" s="2"/>
      <c r="R44" s="19">
        <f t="shared" si="17"/>
        <v>0</v>
      </c>
      <c r="S44" s="2"/>
      <c r="T44" s="2">
        <v>67.17</v>
      </c>
      <c r="U44" s="2"/>
      <c r="V44" s="19">
        <f t="shared" si="18"/>
        <v>6.2445058435355E-5</v>
      </c>
      <c r="W44" s="2"/>
      <c r="X44" s="2">
        <f t="shared" si="19"/>
        <v>-67.17</v>
      </c>
      <c r="Y44" s="2"/>
      <c r="Z44" s="19">
        <f t="shared" si="20"/>
        <v>-1</v>
      </c>
    </row>
    <row r="45" spans="1:26" s="24" customFormat="1" hidden="1" outlineLevel="1" x14ac:dyDescent="0.25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3"/>
        <v>0</v>
      </c>
      <c r="G45" s="2"/>
      <c r="H45" s="2">
        <v>1384.46</v>
      </c>
      <c r="I45" s="2"/>
      <c r="J45" s="19">
        <f t="shared" si="14"/>
        <v>4.3435156606381725E-2</v>
      </c>
      <c r="K45" s="2"/>
      <c r="L45" s="2">
        <f t="shared" si="15"/>
        <v>-1384.46</v>
      </c>
      <c r="M45" s="2"/>
      <c r="N45" s="19">
        <f t="shared" si="16"/>
        <v>-1</v>
      </c>
      <c r="O45" s="11"/>
      <c r="P45" s="2"/>
      <c r="Q45" s="2"/>
      <c r="R45" s="19">
        <f t="shared" si="17"/>
        <v>0</v>
      </c>
      <c r="S45" s="2"/>
      <c r="T45" s="2">
        <v>1483.64</v>
      </c>
      <c r="U45" s="2"/>
      <c r="V45" s="19">
        <f t="shared" si="18"/>
        <v>1.379276261679769E-3</v>
      </c>
      <c r="W45" s="2"/>
      <c r="X45" s="2">
        <f t="shared" si="19"/>
        <v>-1483.64</v>
      </c>
      <c r="Y45" s="2"/>
      <c r="Z45" s="19">
        <f t="shared" si="20"/>
        <v>-1</v>
      </c>
    </row>
    <row r="46" spans="1:26" s="24" customFormat="1" hidden="1" outlineLevel="1" x14ac:dyDescent="0.25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3"/>
        <v>0</v>
      </c>
      <c r="G46" s="2"/>
      <c r="H46" s="2">
        <v>102.92</v>
      </c>
      <c r="I46" s="2"/>
      <c r="J46" s="19">
        <f t="shared" si="14"/>
        <v>3.2289458113118523E-3</v>
      </c>
      <c r="K46" s="2"/>
      <c r="L46" s="2">
        <f t="shared" si="15"/>
        <v>-102.92</v>
      </c>
      <c r="M46" s="2"/>
      <c r="N46" s="19">
        <f t="shared" si="16"/>
        <v>-1</v>
      </c>
      <c r="O46" s="11"/>
      <c r="P46" s="2"/>
      <c r="Q46" s="2"/>
      <c r="R46" s="19">
        <f t="shared" si="17"/>
        <v>0</v>
      </c>
      <c r="S46" s="2"/>
      <c r="T46" s="2">
        <v>90.41</v>
      </c>
      <c r="U46" s="2"/>
      <c r="V46" s="19">
        <f t="shared" si="18"/>
        <v>8.4050286335275352E-5</v>
      </c>
      <c r="W46" s="2"/>
      <c r="X46" s="2">
        <f t="shared" si="19"/>
        <v>-90.41</v>
      </c>
      <c r="Y46" s="2"/>
      <c r="Z46" s="19">
        <f t="shared" si="20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-290158.21999999997</v>
      </c>
      <c r="E47" s="2"/>
      <c r="F47" s="19">
        <f t="shared" si="13"/>
        <v>-8.3524077943618611</v>
      </c>
      <c r="G47" s="2"/>
      <c r="H47" s="2">
        <v>-111446.85</v>
      </c>
      <c r="I47" s="2"/>
      <c r="J47" s="19">
        <f t="shared" si="14"/>
        <v>-3.4964617128973989</v>
      </c>
      <c r="K47" s="2"/>
      <c r="L47" s="2">
        <f t="shared" si="15"/>
        <v>-178711.36999999997</v>
      </c>
      <c r="M47" s="2"/>
      <c r="N47" s="19">
        <f t="shared" si="16"/>
        <v>1.6035569421657045</v>
      </c>
      <c r="O47" s="11"/>
      <c r="P47" s="2">
        <v>-1326529.8600000001</v>
      </c>
      <c r="Q47" s="2"/>
      <c r="R47" s="19">
        <f t="shared" si="17"/>
        <v>-1.3158554302132415</v>
      </c>
      <c r="S47" s="2"/>
      <c r="T47" s="2">
        <v>-1549974.48</v>
      </c>
      <c r="U47" s="2"/>
      <c r="V47" s="19">
        <f t="shared" si="18"/>
        <v>-1.4409445731265293</v>
      </c>
      <c r="W47" s="2"/>
      <c r="X47" s="2">
        <f t="shared" si="19"/>
        <v>223444.61999999988</v>
      </c>
      <c r="Y47" s="2"/>
      <c r="Z47" s="19">
        <f t="shared" si="20"/>
        <v>-0.14416019288265952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21877.63</v>
      </c>
      <c r="E48" s="2"/>
      <c r="F48" s="19">
        <f t="shared" si="13"/>
        <v>0.62976291808712126</v>
      </c>
      <c r="G48" s="2"/>
      <c r="H48" s="2">
        <v>24962</v>
      </c>
      <c r="I48" s="2"/>
      <c r="J48" s="19">
        <f t="shared" si="14"/>
        <v>0.78314171533197097</v>
      </c>
      <c r="K48" s="2"/>
      <c r="L48" s="2">
        <f t="shared" si="15"/>
        <v>-3084.369999999999</v>
      </c>
      <c r="M48" s="2"/>
      <c r="N48" s="19">
        <f t="shared" si="16"/>
        <v>-0.12356261517506606</v>
      </c>
      <c r="O48" s="11"/>
      <c r="P48" s="2">
        <v>843417.87</v>
      </c>
      <c r="Q48" s="2"/>
      <c r="R48" s="19">
        <f t="shared" si="17"/>
        <v>0.83663098558398508</v>
      </c>
      <c r="S48" s="2"/>
      <c r="T48" s="2">
        <v>762931</v>
      </c>
      <c r="U48" s="2"/>
      <c r="V48" s="19">
        <f t="shared" si="18"/>
        <v>0.70926411905826747</v>
      </c>
      <c r="W48" s="2"/>
      <c r="X48" s="2">
        <f t="shared" si="19"/>
        <v>80486.87</v>
      </c>
      <c r="Y48" s="2"/>
      <c r="Z48" s="19">
        <f t="shared" si="20"/>
        <v>0.10549691911850481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>
        <v>16313.25</v>
      </c>
      <c r="E49" s="2"/>
      <c r="F49" s="19">
        <f t="shared" si="13"/>
        <v>0.46958833856705362</v>
      </c>
      <c r="G49" s="2"/>
      <c r="H49" s="2"/>
      <c r="I49" s="2"/>
      <c r="J49" s="19">
        <f t="shared" si="14"/>
        <v>0</v>
      </c>
      <c r="K49" s="2"/>
      <c r="L49" s="2">
        <f t="shared" si="15"/>
        <v>16313.25</v>
      </c>
      <c r="M49" s="2"/>
      <c r="N49" s="19">
        <f t="shared" si="16"/>
        <v>0</v>
      </c>
      <c r="O49" s="11"/>
      <c r="P49" s="2">
        <v>36138.050000000003</v>
      </c>
      <c r="Q49" s="2"/>
      <c r="R49" s="19">
        <f t="shared" si="17"/>
        <v>3.5847251361396146E-2</v>
      </c>
      <c r="S49" s="2"/>
      <c r="T49" s="2">
        <v>0</v>
      </c>
      <c r="U49" s="2"/>
      <c r="V49" s="19">
        <f t="shared" si="18"/>
        <v>0</v>
      </c>
      <c r="W49" s="2"/>
      <c r="X49" s="2">
        <f t="shared" si="19"/>
        <v>36138.050000000003</v>
      </c>
      <c r="Y49" s="2"/>
      <c r="Z49" s="19">
        <f t="shared" si="20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0</v>
      </c>
      <c r="E50" s="2"/>
      <c r="F50" s="19">
        <f t="shared" si="13"/>
        <v>0</v>
      </c>
      <c r="G50" s="2"/>
      <c r="H50" s="2">
        <v>23295.74</v>
      </c>
      <c r="I50" s="2"/>
      <c r="J50" s="19">
        <f t="shared" si="14"/>
        <v>0.73086554697250261</v>
      </c>
      <c r="K50" s="2"/>
      <c r="L50" s="2">
        <f t="shared" si="15"/>
        <v>-23295.74</v>
      </c>
      <c r="M50" s="2"/>
      <c r="N50" s="19">
        <f t="shared" si="16"/>
        <v>-1</v>
      </c>
      <c r="O50" s="11"/>
      <c r="P50" s="2">
        <v>0</v>
      </c>
      <c r="Q50" s="2"/>
      <c r="R50" s="19">
        <f t="shared" si="17"/>
        <v>0</v>
      </c>
      <c r="S50" s="2"/>
      <c r="T50" s="2">
        <v>34058.620000000003</v>
      </c>
      <c r="U50" s="2"/>
      <c r="V50" s="19">
        <f t="shared" si="18"/>
        <v>3.1662833350119851E-2</v>
      </c>
      <c r="W50" s="2"/>
      <c r="X50" s="2">
        <f t="shared" si="19"/>
        <v>-34058.620000000003</v>
      </c>
      <c r="Y50" s="2"/>
      <c r="Z50" s="19">
        <f t="shared" si="20"/>
        <v>-1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/>
      <c r="E51" s="2"/>
      <c r="F51" s="19">
        <f t="shared" si="13"/>
        <v>0</v>
      </c>
      <c r="G51" s="2"/>
      <c r="H51" s="2">
        <v>2233.9</v>
      </c>
      <c r="I51" s="2"/>
      <c r="J51" s="19">
        <f t="shared" si="14"/>
        <v>7.0084940224344611E-2</v>
      </c>
      <c r="K51" s="2"/>
      <c r="L51" s="2">
        <f t="shared" si="15"/>
        <v>-2233.9</v>
      </c>
      <c r="M51" s="2"/>
      <c r="N51" s="19">
        <f t="shared" si="16"/>
        <v>-1</v>
      </c>
      <c r="O51" s="11"/>
      <c r="P51" s="2">
        <v>0</v>
      </c>
      <c r="Q51" s="2"/>
      <c r="R51" s="19">
        <f t="shared" si="17"/>
        <v>0</v>
      </c>
      <c r="S51" s="2"/>
      <c r="T51" s="2">
        <v>10744.72</v>
      </c>
      <c r="U51" s="2"/>
      <c r="V51" s="19">
        <f t="shared" si="18"/>
        <v>9.9889038003800439E-3</v>
      </c>
      <c r="W51" s="2"/>
      <c r="X51" s="2">
        <f t="shared" si="19"/>
        <v>-10744.72</v>
      </c>
      <c r="Y51" s="2"/>
      <c r="Z51" s="19">
        <f t="shared" si="20"/>
        <v>-1</v>
      </c>
    </row>
    <row r="52" spans="1:26" s="24" customFormat="1" hidden="1" outlineLevel="1" x14ac:dyDescent="0.25">
      <c r="A52" s="44"/>
      <c r="B52" s="11" t="str">
        <f>CONCATENATE("          ", "5504", " - ", "FREIGHT-IN-DIGITAL TEXT")</f>
        <v xml:space="preserve">          5504 - FREIGHT-IN-DIGITAL TEXT</v>
      </c>
      <c r="C52" s="11"/>
      <c r="D52" s="2"/>
      <c r="E52" s="2"/>
      <c r="F52" s="19">
        <f t="shared" si="13"/>
        <v>0</v>
      </c>
      <c r="G52" s="2"/>
      <c r="H52" s="2">
        <v>10.99</v>
      </c>
      <c r="I52" s="2"/>
      <c r="J52" s="19">
        <f t="shared" si="14"/>
        <v>3.4479318369915715E-4</v>
      </c>
      <c r="K52" s="2"/>
      <c r="L52" s="2">
        <f t="shared" si="15"/>
        <v>-10.99</v>
      </c>
      <c r="M52" s="2"/>
      <c r="N52" s="19">
        <f t="shared" si="16"/>
        <v>-1</v>
      </c>
      <c r="O52" s="11"/>
      <c r="P52" s="2"/>
      <c r="Q52" s="2"/>
      <c r="R52" s="19">
        <f t="shared" si="17"/>
        <v>0</v>
      </c>
      <c r="S52" s="2"/>
      <c r="T52" s="2">
        <v>21.98</v>
      </c>
      <c r="U52" s="2"/>
      <c r="V52" s="19">
        <f t="shared" si="18"/>
        <v>2.0433860122213829E-5</v>
      </c>
      <c r="W52" s="2"/>
      <c r="X52" s="2">
        <f t="shared" si="19"/>
        <v>-21.98</v>
      </c>
      <c r="Y52" s="2"/>
      <c r="Z52" s="19">
        <f t="shared" si="20"/>
        <v>-1</v>
      </c>
    </row>
    <row r="53" spans="1:26" s="24" customFormat="1" hidden="1" outlineLevel="1" x14ac:dyDescent="0.25">
      <c r="A53" s="44"/>
      <c r="B53" s="11" t="str">
        <f>CONCATENATE("          ", "5518", " - ", "FREIGHT-IN-STUDY GUIDES")</f>
        <v xml:space="preserve">          5518 - FREIGHT-IN-STUDY GUIDES</v>
      </c>
      <c r="C53" s="11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1"/>
      <c r="P53" s="2">
        <v>0</v>
      </c>
      <c r="Q53" s="2"/>
      <c r="R53" s="19">
        <f t="shared" si="17"/>
        <v>0</v>
      </c>
      <c r="S53" s="2"/>
      <c r="T53" s="2"/>
      <c r="U53" s="2"/>
      <c r="V53" s="19">
        <f t="shared" si="18"/>
        <v>0</v>
      </c>
      <c r="W53" s="2"/>
      <c r="X53" s="2">
        <f t="shared" si="19"/>
        <v>0</v>
      </c>
      <c r="Y53" s="2"/>
      <c r="Z53" s="19">
        <f t="shared" si="20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107</v>
      </c>
      <c r="C55" s="26"/>
      <c r="D55" s="22">
        <f>D12-D38</f>
        <v>12861.839999999993</v>
      </c>
      <c r="E55" s="13"/>
      <c r="F55" s="20">
        <f>IF(D$12=0,0,D55/D$12)</f>
        <v>0.3702370819128788</v>
      </c>
      <c r="G55" s="13"/>
      <c r="H55" s="22">
        <f>H12-H38</f>
        <v>6912.1800000000112</v>
      </c>
      <c r="I55" s="13"/>
      <c r="J55" s="20">
        <f>IF(H$12=0,0,H55/H$12)</f>
        <v>0.21685828466802948</v>
      </c>
      <c r="K55" s="15"/>
      <c r="L55" s="22">
        <f>+D55-H55</f>
        <v>5949.6599999999817</v>
      </c>
      <c r="M55" s="15"/>
      <c r="N55" s="20">
        <f>IF(H55=0,0,L55/H55)</f>
        <v>0.86075015407584465</v>
      </c>
      <c r="O55" s="25"/>
      <c r="P55" s="22">
        <f>P12-P38</f>
        <v>164694.28999999992</v>
      </c>
      <c r="Q55" s="13"/>
      <c r="R55" s="20">
        <f>IF(P$12=0,0,P55/P$12)</f>
        <v>0.16336901441601492</v>
      </c>
      <c r="S55" s="13"/>
      <c r="T55" s="22">
        <f>T12-T38</f>
        <v>312734.57999999973</v>
      </c>
      <c r="U55" s="13"/>
      <c r="V55" s="20">
        <f>IF(T$12=0,0,T55/T$12)</f>
        <v>0.29073588094173269</v>
      </c>
      <c r="W55" s="15"/>
      <c r="X55" s="22">
        <f>+P55-T55</f>
        <v>-148040.2899999998</v>
      </c>
      <c r="Y55" s="15"/>
      <c r="Z55" s="20">
        <f>IF(T55=0,0,X55/T55)</f>
        <v>-0.47337358727646917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5" t="s">
        <v>294</v>
      </c>
      <c r="C57" s="10"/>
      <c r="D57" s="21">
        <f>SUM(OSRRefD22x_0)</f>
        <v>47453.490000000005</v>
      </c>
      <c r="E57" s="21"/>
      <c r="F57" s="36">
        <f t="shared" ref="F57:F67" si="21">IF(D$12=0,0,D57/D$12)</f>
        <v>1.365981979575394</v>
      </c>
      <c r="G57" s="21"/>
      <c r="H57" s="21">
        <f>SUM(OSRRefH22x_0)</f>
        <v>41286.30999999999</v>
      </c>
      <c r="I57" s="21"/>
      <c r="J57" s="36">
        <f t="shared" ref="J57:J67" si="22">IF(H$12=0,0,H57/H$12)</f>
        <v>1.2952901062866558</v>
      </c>
      <c r="K57" s="4"/>
      <c r="L57" s="21">
        <f t="shared" ref="L57:L67" si="23">+D57-H57</f>
        <v>6167.1800000000148</v>
      </c>
      <c r="M57" s="4"/>
      <c r="N57" s="36">
        <f t="shared" ref="N57:N67" si="24">IF(H57=0,0,L57/H57)</f>
        <v>0.14937590692895578</v>
      </c>
      <c r="O57" s="10"/>
      <c r="P57" s="21">
        <f>SUM(OSRRefP22x_0)</f>
        <v>192347.34</v>
      </c>
      <c r="Q57" s="21"/>
      <c r="R57" s="36">
        <f t="shared" ref="R57:R67" si="25">IF(P$12=0,0,P57/P$12)</f>
        <v>0.19079954357459591</v>
      </c>
      <c r="S57" s="21"/>
      <c r="T57" s="21">
        <f>SUM(OSRRefT22x_0)</f>
        <v>169717.31999999998</v>
      </c>
      <c r="U57" s="21"/>
      <c r="V57" s="36">
        <f t="shared" ref="V57:V67" si="26">IF(T$12=0,0,T57/T$12)</f>
        <v>0.15777888886246602</v>
      </c>
      <c r="W57" s="4"/>
      <c r="X57" s="21">
        <f t="shared" ref="X57:X67" si="27">+P57-T57</f>
        <v>22630.020000000019</v>
      </c>
      <c r="Y57" s="4"/>
      <c r="Z57" s="36">
        <f t="shared" ref="Z57:Z67" si="28">IF(T57=0,0,X57/T57)</f>
        <v>0.13333948473850532</v>
      </c>
    </row>
    <row r="58" spans="1:26" s="28" customFormat="1" outlineLevel="1" collapsed="1" x14ac:dyDescent="0.25">
      <c r="A58" s="27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SUM(OSRRefD22_0x_0)</f>
        <v>15715.130000000001</v>
      </c>
      <c r="E58" s="1"/>
      <c r="F58" s="5">
        <f t="shared" si="21"/>
        <v>0.45237103502154763</v>
      </c>
      <c r="G58" s="1"/>
      <c r="H58" s="1">
        <f>SUM(OSRRefH22_0x_0)</f>
        <v>13021.619999999999</v>
      </c>
      <c r="I58" s="1"/>
      <c r="J58" s="5">
        <f t="shared" si="22"/>
        <v>0.40853192144864592</v>
      </c>
      <c r="K58" s="1"/>
      <c r="L58" s="1">
        <f t="shared" si="23"/>
        <v>2693.510000000002</v>
      </c>
      <c r="M58" s="1"/>
      <c r="N58" s="5">
        <f t="shared" si="24"/>
        <v>0.20684907100652625</v>
      </c>
      <c r="O58" s="14"/>
      <c r="P58" s="1">
        <f>SUM(OSRRefP22_0x_0)</f>
        <v>51937.590000000004</v>
      </c>
      <c r="Q58" s="1"/>
      <c r="R58" s="5">
        <f t="shared" si="25"/>
        <v>5.151965432100334E-2</v>
      </c>
      <c r="S58" s="1"/>
      <c r="T58" s="1">
        <f>SUM(OSRRefT22_0x_0)</f>
        <v>45612.71</v>
      </c>
      <c r="U58" s="1"/>
      <c r="V58" s="5">
        <f t="shared" si="26"/>
        <v>4.2404173609422377E-2</v>
      </c>
      <c r="W58" s="1"/>
      <c r="X58" s="1">
        <f t="shared" si="27"/>
        <v>6324.8800000000047</v>
      </c>
      <c r="Y58" s="1"/>
      <c r="Z58" s="5">
        <f t="shared" si="28"/>
        <v>0.13866485898338435</v>
      </c>
    </row>
    <row r="59" spans="1:26" s="24" customFormat="1" hidden="1" outlineLevel="2" x14ac:dyDescent="0.25">
      <c r="A59" s="29"/>
      <c r="B59" s="11" t="str">
        <f>CONCATENATE("          ", "6111", " - ", "F.I.C.A.")</f>
        <v xml:space="preserve">          6111 - F.I.C.A.</v>
      </c>
      <c r="C59" s="11"/>
      <c r="D59" s="6">
        <v>2647.68</v>
      </c>
      <c r="E59" s="2"/>
      <c r="F59" s="7">
        <f t="shared" si="21"/>
        <v>7.6215325104269011E-2</v>
      </c>
      <c r="G59" s="2"/>
      <c r="H59" s="6">
        <v>3122.76</v>
      </c>
      <c r="I59" s="2"/>
      <c r="J59" s="7">
        <f t="shared" si="22"/>
        <v>9.797146154034396E-2</v>
      </c>
      <c r="K59" s="2"/>
      <c r="L59" s="6">
        <f t="shared" si="23"/>
        <v>-475.08000000000038</v>
      </c>
      <c r="M59" s="2"/>
      <c r="N59" s="7">
        <f t="shared" si="24"/>
        <v>-0.15213465011720412</v>
      </c>
      <c r="O59" s="11"/>
      <c r="P59" s="6">
        <v>9059.2000000000007</v>
      </c>
      <c r="Q59" s="2"/>
      <c r="R59" s="7">
        <f t="shared" si="25"/>
        <v>8.986301682939726E-3</v>
      </c>
      <c r="S59" s="2"/>
      <c r="T59" s="6">
        <v>9222.64</v>
      </c>
      <c r="U59" s="2"/>
      <c r="V59" s="7">
        <f t="shared" si="26"/>
        <v>8.5738915249105613E-3</v>
      </c>
      <c r="W59" s="2"/>
      <c r="X59" s="6">
        <f t="shared" si="27"/>
        <v>-163.43999999999869</v>
      </c>
      <c r="Y59" s="2"/>
      <c r="Z59" s="7">
        <f t="shared" si="28"/>
        <v>-1.7721606828413415E-2</v>
      </c>
    </row>
    <row r="60" spans="1:26" s="24" customFormat="1" hidden="1" outlineLevel="2" x14ac:dyDescent="0.25">
      <c r="A60" s="29"/>
      <c r="B60" s="11" t="str">
        <f>CONCATENATE("          ", "6112", " - ", "COMPENSATION INSURANCE")</f>
        <v xml:space="preserve">          6112 - COMPENSATION INSURANCE</v>
      </c>
      <c r="C60" s="11"/>
      <c r="D60" s="6">
        <v>519.37</v>
      </c>
      <c r="E60" s="2"/>
      <c r="F60" s="7">
        <f t="shared" si="21"/>
        <v>1.4950429583410458E-2</v>
      </c>
      <c r="G60" s="2"/>
      <c r="H60" s="6">
        <v>89.88</v>
      </c>
      <c r="I60" s="2"/>
      <c r="J60" s="7">
        <f t="shared" si="22"/>
        <v>2.8198372475778202E-3</v>
      </c>
      <c r="K60" s="2"/>
      <c r="L60" s="6">
        <f t="shared" si="23"/>
        <v>429.49</v>
      </c>
      <c r="M60" s="2"/>
      <c r="N60" s="7">
        <f t="shared" si="24"/>
        <v>4.7784824210057861</v>
      </c>
      <c r="O60" s="11"/>
      <c r="P60" s="6">
        <v>1838.47</v>
      </c>
      <c r="Q60" s="2"/>
      <c r="R60" s="7">
        <f t="shared" si="25"/>
        <v>1.8236760481095677E-3</v>
      </c>
      <c r="S60" s="2"/>
      <c r="T60" s="6">
        <v>523.16999999999996</v>
      </c>
      <c r="U60" s="2"/>
      <c r="V60" s="7">
        <f t="shared" si="26"/>
        <v>4.8636863512914501E-4</v>
      </c>
      <c r="W60" s="2"/>
      <c r="X60" s="6">
        <f t="shared" si="27"/>
        <v>1315.3000000000002</v>
      </c>
      <c r="Y60" s="2"/>
      <c r="Z60" s="7">
        <f t="shared" si="28"/>
        <v>2.5140967563124801</v>
      </c>
    </row>
    <row r="61" spans="1:26" s="24" customFormat="1" hidden="1" outlineLevel="2" x14ac:dyDescent="0.25">
      <c r="A61" s="29"/>
      <c r="B61" s="11" t="str">
        <f>CONCATENATE("          ", "6113", " - ", "GROUP INSURANCE")</f>
        <v xml:space="preserve">          6113 - GROUP INSURANCE</v>
      </c>
      <c r="C61" s="11"/>
      <c r="D61" s="6">
        <v>4593.8599999999997</v>
      </c>
      <c r="E61" s="2"/>
      <c r="F61" s="7">
        <f t="shared" si="21"/>
        <v>0.13223748088269627</v>
      </c>
      <c r="G61" s="2"/>
      <c r="H61" s="6">
        <v>4248.21</v>
      </c>
      <c r="I61" s="2"/>
      <c r="J61" s="7">
        <f t="shared" si="22"/>
        <v>0.13328060517949011</v>
      </c>
      <c r="K61" s="2"/>
      <c r="L61" s="6">
        <f t="shared" si="23"/>
        <v>345.64999999999964</v>
      </c>
      <c r="M61" s="2"/>
      <c r="N61" s="7">
        <f t="shared" si="24"/>
        <v>8.1363680232380137E-2</v>
      </c>
      <c r="O61" s="11"/>
      <c r="P61" s="6">
        <v>18431.689999999999</v>
      </c>
      <c r="Q61" s="2"/>
      <c r="R61" s="7">
        <f t="shared" si="25"/>
        <v>1.8283372358091583E-2</v>
      </c>
      <c r="S61" s="2"/>
      <c r="T61" s="6">
        <v>16858.63</v>
      </c>
      <c r="U61" s="2"/>
      <c r="V61" s="7">
        <f t="shared" si="26"/>
        <v>1.5672742824029015E-2</v>
      </c>
      <c r="W61" s="2"/>
      <c r="X61" s="6">
        <f t="shared" si="27"/>
        <v>1573.0599999999977</v>
      </c>
      <c r="Y61" s="2"/>
      <c r="Z61" s="7">
        <f t="shared" si="28"/>
        <v>9.3308886902434995E-2</v>
      </c>
    </row>
    <row r="62" spans="1:26" s="24" customFormat="1" hidden="1" outlineLevel="2" x14ac:dyDescent="0.25">
      <c r="A62" s="29"/>
      <c r="B62" s="11" t="str">
        <f>CONCATENATE("          ", "6114", " - ", "STATE UNEMPLOYMENT INSURANCE")</f>
        <v xml:space="preserve">          6114 - STATE UNEMPLOYMENT INSURANCE</v>
      </c>
      <c r="C62" s="11"/>
      <c r="D62" s="6">
        <v>103.04</v>
      </c>
      <c r="E62" s="2"/>
      <c r="F62" s="7">
        <f t="shared" si="21"/>
        <v>2.9660786419597081E-3</v>
      </c>
      <c r="G62" s="2"/>
      <c r="H62" s="6">
        <v>60.94</v>
      </c>
      <c r="I62" s="2"/>
      <c r="J62" s="7">
        <f t="shared" si="22"/>
        <v>1.911892321622078E-3</v>
      </c>
      <c r="K62" s="2"/>
      <c r="L62" s="6">
        <f t="shared" si="23"/>
        <v>42.100000000000009</v>
      </c>
      <c r="M62" s="2"/>
      <c r="N62" s="7">
        <f t="shared" si="24"/>
        <v>0.69084345257630475</v>
      </c>
      <c r="O62" s="11"/>
      <c r="P62" s="6">
        <v>364.49</v>
      </c>
      <c r="Q62" s="2"/>
      <c r="R62" s="7">
        <f t="shared" si="25"/>
        <v>3.61556991833131E-4</v>
      </c>
      <c r="S62" s="2"/>
      <c r="T62" s="6">
        <v>269.16000000000003</v>
      </c>
      <c r="U62" s="2"/>
      <c r="V62" s="7">
        <f t="shared" si="26"/>
        <v>2.5022646908530823E-4</v>
      </c>
      <c r="W62" s="2"/>
      <c r="X62" s="6">
        <f t="shared" si="27"/>
        <v>95.329999999999984</v>
      </c>
      <c r="Y62" s="2"/>
      <c r="Z62" s="7">
        <f t="shared" si="28"/>
        <v>0.35417595482241038</v>
      </c>
    </row>
    <row r="63" spans="1:26" s="24" customFormat="1" hidden="1" outlineLevel="2" x14ac:dyDescent="0.25">
      <c r="A63" s="29"/>
      <c r="B63" s="11" t="str">
        <f>CONCATENATE("          ", "6115", " - ", "P.E.R.S.")</f>
        <v xml:space="preserve">          6115 - P.E.R.S.</v>
      </c>
      <c r="C63" s="11"/>
      <c r="D63" s="6">
        <v>2410.65</v>
      </c>
      <c r="E63" s="2"/>
      <c r="F63" s="7">
        <f t="shared" si="21"/>
        <v>6.9392250371119665E-2</v>
      </c>
      <c r="G63" s="2"/>
      <c r="H63" s="6">
        <v>1480.2</v>
      </c>
      <c r="I63" s="2"/>
      <c r="J63" s="7">
        <f t="shared" si="22"/>
        <v>4.6438841720790942E-2</v>
      </c>
      <c r="K63" s="2"/>
      <c r="L63" s="6">
        <f t="shared" si="23"/>
        <v>930.45</v>
      </c>
      <c r="M63" s="2"/>
      <c r="N63" s="7">
        <f t="shared" si="24"/>
        <v>0.62859748682610461</v>
      </c>
      <c r="O63" s="11"/>
      <c r="P63" s="6">
        <v>7231.95</v>
      </c>
      <c r="Q63" s="2"/>
      <c r="R63" s="7">
        <f t="shared" si="25"/>
        <v>7.1737553488096014E-3</v>
      </c>
      <c r="S63" s="2"/>
      <c r="T63" s="6">
        <v>6660.92</v>
      </c>
      <c r="U63" s="2"/>
      <c r="V63" s="7">
        <f t="shared" si="26"/>
        <v>6.1923706808578952E-3</v>
      </c>
      <c r="W63" s="2"/>
      <c r="X63" s="6">
        <f t="shared" si="27"/>
        <v>571.02999999999975</v>
      </c>
      <c r="Y63" s="2"/>
      <c r="Z63" s="7">
        <f t="shared" si="28"/>
        <v>8.5728397878971629E-2</v>
      </c>
    </row>
    <row r="64" spans="1:26" s="24" customFormat="1" hidden="1" outlineLevel="2" x14ac:dyDescent="0.25">
      <c r="A64" s="29"/>
      <c r="B64" s="11" t="str">
        <f>CONCATENATE("          ", "6117", " - ", "RETIREMENT STAFF HOURLY")</f>
        <v xml:space="preserve">          6117 - RETIREMENT STAFF HOURLY</v>
      </c>
      <c r="C64" s="11"/>
      <c r="D64" s="6">
        <v>271.36</v>
      </c>
      <c r="E64" s="2"/>
      <c r="F64" s="7">
        <f t="shared" si="21"/>
        <v>7.8112878521174921E-3</v>
      </c>
      <c r="G64" s="2"/>
      <c r="H64" s="6">
        <v>222.97</v>
      </c>
      <c r="I64" s="2"/>
      <c r="J64" s="7">
        <f t="shared" si="22"/>
        <v>6.9953172128663392E-3</v>
      </c>
      <c r="K64" s="2"/>
      <c r="L64" s="6">
        <f t="shared" si="23"/>
        <v>48.390000000000015</v>
      </c>
      <c r="M64" s="2"/>
      <c r="N64" s="7">
        <f t="shared" si="24"/>
        <v>0.21702471184464284</v>
      </c>
      <c r="O64" s="11"/>
      <c r="P64" s="6">
        <v>1248.25</v>
      </c>
      <c r="Q64" s="2"/>
      <c r="R64" s="7">
        <f t="shared" si="25"/>
        <v>1.2382054790411416E-3</v>
      </c>
      <c r="S64" s="2"/>
      <c r="T64" s="6">
        <v>1060.74</v>
      </c>
      <c r="U64" s="2"/>
      <c r="V64" s="7">
        <f t="shared" si="26"/>
        <v>9.8612433057493603E-4</v>
      </c>
      <c r="W64" s="2"/>
      <c r="X64" s="6">
        <f t="shared" si="27"/>
        <v>187.51</v>
      </c>
      <c r="Y64" s="2"/>
      <c r="Z64" s="7">
        <f t="shared" si="28"/>
        <v>0.17677281897543223</v>
      </c>
    </row>
    <row r="65" spans="1:26" s="24" customFormat="1" hidden="1" outlineLevel="2" x14ac:dyDescent="0.25">
      <c r="A65" s="29"/>
      <c r="B65" s="11" t="str">
        <f>CONCATENATE("          ", "6118", " - ", "VACATION")</f>
        <v xml:space="preserve">          6118 - VACATION</v>
      </c>
      <c r="C65" s="11"/>
      <c r="D65" s="6">
        <v>2292.4699999999998</v>
      </c>
      <c r="E65" s="2"/>
      <c r="F65" s="7">
        <f t="shared" si="21"/>
        <v>6.5990356214415485E-2</v>
      </c>
      <c r="G65" s="2"/>
      <c r="H65" s="6">
        <v>1853.32</v>
      </c>
      <c r="I65" s="2"/>
      <c r="J65" s="7">
        <f t="shared" si="22"/>
        <v>5.8144868354260415E-2</v>
      </c>
      <c r="K65" s="2"/>
      <c r="L65" s="6">
        <f t="shared" si="23"/>
        <v>439.14999999999986</v>
      </c>
      <c r="M65" s="2"/>
      <c r="N65" s="7">
        <f t="shared" si="24"/>
        <v>0.23695314354779523</v>
      </c>
      <c r="O65" s="11"/>
      <c r="P65" s="6">
        <v>6101.24</v>
      </c>
      <c r="Q65" s="2"/>
      <c r="R65" s="7">
        <f t="shared" si="25"/>
        <v>6.0521440392108756E-3</v>
      </c>
      <c r="S65" s="2"/>
      <c r="T65" s="6">
        <v>4884.7</v>
      </c>
      <c r="U65" s="2"/>
      <c r="V65" s="7">
        <f t="shared" si="26"/>
        <v>4.541095383938939E-3</v>
      </c>
      <c r="W65" s="2"/>
      <c r="X65" s="6">
        <f t="shared" si="27"/>
        <v>1216.54</v>
      </c>
      <c r="Y65" s="2"/>
      <c r="Z65" s="7">
        <f t="shared" si="28"/>
        <v>0.24905111879951686</v>
      </c>
    </row>
    <row r="66" spans="1:26" s="24" customFormat="1" hidden="1" outlineLevel="2" x14ac:dyDescent="0.25">
      <c r="A66" s="29"/>
      <c r="B66" s="11" t="str">
        <f>CONCATENATE("          ", "6119", " - ", "SICK LEAVE")</f>
        <v xml:space="preserve">          6119 - SICK LEAVE</v>
      </c>
      <c r="C66" s="11"/>
      <c r="D66" s="6">
        <v>1607.84</v>
      </c>
      <c r="E66" s="2"/>
      <c r="F66" s="7">
        <f t="shared" si="21"/>
        <v>4.6282801666231527E-2</v>
      </c>
      <c r="G66" s="2"/>
      <c r="H66" s="6">
        <v>1416.9</v>
      </c>
      <c r="I66" s="2"/>
      <c r="J66" s="7">
        <f t="shared" si="22"/>
        <v>4.4452908278738469E-2</v>
      </c>
      <c r="K66" s="2"/>
      <c r="L66" s="6">
        <f t="shared" si="23"/>
        <v>190.93999999999983</v>
      </c>
      <c r="M66" s="2"/>
      <c r="N66" s="7">
        <f t="shared" si="24"/>
        <v>0.1347589808737383</v>
      </c>
      <c r="O66" s="11"/>
      <c r="P66" s="6">
        <v>4823.54</v>
      </c>
      <c r="Q66" s="2"/>
      <c r="R66" s="7">
        <f t="shared" si="25"/>
        <v>4.7847255408564864E-3</v>
      </c>
      <c r="S66" s="2"/>
      <c r="T66" s="6">
        <v>4250.7</v>
      </c>
      <c r="U66" s="2"/>
      <c r="V66" s="7">
        <f t="shared" si="26"/>
        <v>3.9516928672199414E-3</v>
      </c>
      <c r="W66" s="2"/>
      <c r="X66" s="6">
        <f t="shared" si="27"/>
        <v>572.84000000000015</v>
      </c>
      <c r="Y66" s="2"/>
      <c r="Z66" s="7">
        <f t="shared" si="28"/>
        <v>0.13476368598113256</v>
      </c>
    </row>
    <row r="67" spans="1:26" s="24" customFormat="1" hidden="1" outlineLevel="2" x14ac:dyDescent="0.25">
      <c r="A67" s="29"/>
      <c r="B67" s="11" t="str">
        <f>CONCATENATE("          ", "6156", " - ", "EMPLOYEE MEALS")</f>
        <v xml:space="preserve">          6156 - EMPLOYEE MEALS</v>
      </c>
      <c r="C67" s="11"/>
      <c r="D67" s="6">
        <v>1268.8599999999999</v>
      </c>
      <c r="E67" s="2"/>
      <c r="F67" s="7">
        <f t="shared" si="21"/>
        <v>3.652502470532798E-2</v>
      </c>
      <c r="G67" s="2"/>
      <c r="H67" s="6">
        <v>526.44000000000005</v>
      </c>
      <c r="I67" s="2"/>
      <c r="J67" s="7">
        <f t="shared" si="22"/>
        <v>1.6516189592955807E-2</v>
      </c>
      <c r="K67" s="2"/>
      <c r="L67" s="6">
        <f t="shared" si="23"/>
        <v>742.41999999999985</v>
      </c>
      <c r="M67" s="2"/>
      <c r="N67" s="7">
        <f t="shared" si="24"/>
        <v>1.410265177418129</v>
      </c>
      <c r="O67" s="11"/>
      <c r="P67" s="6">
        <v>2838.76</v>
      </c>
      <c r="Q67" s="2"/>
      <c r="R67" s="7">
        <f t="shared" si="25"/>
        <v>2.815916832111221E-3</v>
      </c>
      <c r="S67" s="2"/>
      <c r="T67" s="6">
        <v>1882.05</v>
      </c>
      <c r="U67" s="2"/>
      <c r="V67" s="7">
        <f t="shared" si="26"/>
        <v>1.7496608936766393E-3</v>
      </c>
      <c r="W67" s="2"/>
      <c r="X67" s="6">
        <f t="shared" si="27"/>
        <v>956.71000000000026</v>
      </c>
      <c r="Y67" s="2"/>
      <c r="Z67" s="7">
        <f t="shared" si="28"/>
        <v>0.50833399750272323</v>
      </c>
    </row>
    <row r="68" spans="1:26" s="28" customFormat="1" outlineLevel="1" collapsed="1" x14ac:dyDescent="0.25">
      <c r="A68" s="27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25944.329999999998</v>
      </c>
      <c r="E68" s="1"/>
      <c r="F68" s="5">
        <f t="shared" ref="F68:F75" si="29">IF(D$12=0,0,D68/D$12)</f>
        <v>0.74682572877479136</v>
      </c>
      <c r="G68" s="1"/>
      <c r="H68" s="1">
        <f>SUM(OSRRefH22_1x_0)</f>
        <v>26770.510000000002</v>
      </c>
      <c r="I68" s="1"/>
      <c r="J68" s="5">
        <f t="shared" ref="J68:J75" si="30">IF(H$12=0,0,H68/H$12)</f>
        <v>0.83988074359873743</v>
      </c>
      <c r="K68" s="1"/>
      <c r="L68" s="1">
        <f t="shared" ref="L68:L75" si="31">+D68-H68</f>
        <v>-826.18000000000393</v>
      </c>
      <c r="M68" s="1"/>
      <c r="N68" s="5">
        <f t="shared" ref="N68:N75" si="32">IF(H68=0,0,L68/H68)</f>
        <v>-3.0861571184112813E-2</v>
      </c>
      <c r="O68" s="14"/>
      <c r="P68" s="1">
        <f>SUM(OSRRefP22_1x_0)</f>
        <v>125315.64999999998</v>
      </c>
      <c r="Q68" s="1"/>
      <c r="R68" s="5">
        <f t="shared" ref="R68:R75" si="33">IF(P$12=0,0,P68/P$12)</f>
        <v>0.12430724970126339</v>
      </c>
      <c r="S68" s="1"/>
      <c r="T68" s="1">
        <f>SUM(OSRRefT22_1x_0)</f>
        <v>116444.83</v>
      </c>
      <c r="U68" s="1"/>
      <c r="V68" s="5">
        <f t="shared" ref="V68:V75" si="34">IF(T$12=0,0,T68/T$12)</f>
        <v>0.10825374741469374</v>
      </c>
      <c r="W68" s="1"/>
      <c r="X68" s="1">
        <f t="shared" ref="X68:X75" si="35">+P68-T68</f>
        <v>8870.8199999999779</v>
      </c>
      <c r="Y68" s="1"/>
      <c r="Z68" s="5">
        <f t="shared" ref="Z68:Z75" si="36">IF(T68=0,0,X68/T68)</f>
        <v>7.6180453868153503E-2</v>
      </c>
    </row>
    <row r="69" spans="1:26" s="24" customFormat="1" hidden="1" outlineLevel="2" x14ac:dyDescent="0.25">
      <c r="A69" s="29"/>
      <c r="B69" s="11" t="str">
        <f>CONCATENATE("          ", "6001", " - ", "ADMINISTRATIVE SALARIES")</f>
        <v xml:space="preserve">          6001 - ADMINISTRATIVE SALARIES</v>
      </c>
      <c r="C69" s="11"/>
      <c r="D69" s="6"/>
      <c r="E69" s="2"/>
      <c r="F69" s="7">
        <f t="shared" si="29"/>
        <v>0</v>
      </c>
      <c r="G69" s="2"/>
      <c r="H69" s="6"/>
      <c r="I69" s="2"/>
      <c r="J69" s="7">
        <f t="shared" si="30"/>
        <v>0</v>
      </c>
      <c r="K69" s="2"/>
      <c r="L69" s="6">
        <f t="shared" si="31"/>
        <v>0</v>
      </c>
      <c r="M69" s="2"/>
      <c r="N69" s="7">
        <f t="shared" si="32"/>
        <v>0</v>
      </c>
      <c r="O69" s="11"/>
      <c r="P69" s="6"/>
      <c r="Q69" s="2"/>
      <c r="R69" s="7">
        <f t="shared" si="33"/>
        <v>0</v>
      </c>
      <c r="S69" s="2"/>
      <c r="T69" s="6">
        <v>-311.32</v>
      </c>
      <c r="U69" s="2"/>
      <c r="V69" s="7">
        <f t="shared" si="34"/>
        <v>-2.8942080679015506E-4</v>
      </c>
      <c r="W69" s="2"/>
      <c r="X69" s="6">
        <f t="shared" si="35"/>
        <v>311.32</v>
      </c>
      <c r="Y69" s="2"/>
      <c r="Z69" s="7">
        <f t="shared" si="36"/>
        <v>-1</v>
      </c>
    </row>
    <row r="70" spans="1:26" s="24" customFormat="1" hidden="1" outlineLevel="2" x14ac:dyDescent="0.25">
      <c r="A70" s="29"/>
      <c r="B70" s="11" t="str">
        <f>CONCATENATE("          ", "6002", " - ", "STAFF SALARIES")</f>
        <v xml:space="preserve">          6002 - STAFF SALARIES</v>
      </c>
      <c r="C70" s="11"/>
      <c r="D70" s="6">
        <v>16567.12</v>
      </c>
      <c r="E70" s="2"/>
      <c r="F70" s="7">
        <f t="shared" si="29"/>
        <v>0.47689616450682759</v>
      </c>
      <c r="G70" s="2"/>
      <c r="H70" s="6">
        <v>16701.23</v>
      </c>
      <c r="I70" s="2"/>
      <c r="J70" s="7">
        <f t="shared" si="30"/>
        <v>0.52397363634138983</v>
      </c>
      <c r="K70" s="2"/>
      <c r="L70" s="6">
        <f t="shared" si="31"/>
        <v>-134.11000000000058</v>
      </c>
      <c r="M70" s="2"/>
      <c r="N70" s="7">
        <f t="shared" si="32"/>
        <v>-8.0299474948851424E-3</v>
      </c>
      <c r="O70" s="11"/>
      <c r="P70" s="6">
        <v>69667.899999999994</v>
      </c>
      <c r="Q70" s="2"/>
      <c r="R70" s="7">
        <f t="shared" si="33"/>
        <v>6.9107290601474344E-2</v>
      </c>
      <c r="S70" s="2"/>
      <c r="T70" s="6">
        <v>64144.15</v>
      </c>
      <c r="U70" s="2"/>
      <c r="V70" s="7">
        <f t="shared" si="34"/>
        <v>5.9632055903471433E-2</v>
      </c>
      <c r="W70" s="2"/>
      <c r="X70" s="6">
        <f t="shared" si="35"/>
        <v>5523.7499999999927</v>
      </c>
      <c r="Y70" s="2"/>
      <c r="Z70" s="7">
        <f t="shared" si="36"/>
        <v>8.6114633992343689E-2</v>
      </c>
    </row>
    <row r="71" spans="1:26" s="24" customFormat="1" hidden="1" outlineLevel="2" x14ac:dyDescent="0.25">
      <c r="A71" s="29"/>
      <c r="B71" s="11" t="str">
        <f>CONCATENATE("          ", "6004", " - ", "STAFF HOURLY")</f>
        <v xml:space="preserve">          6004 - STAFF HOURLY</v>
      </c>
      <c r="C71" s="11"/>
      <c r="D71" s="6">
        <v>7047.55</v>
      </c>
      <c r="E71" s="2"/>
      <c r="F71" s="7">
        <f t="shared" si="29"/>
        <v>0.20286866782941712</v>
      </c>
      <c r="G71" s="2"/>
      <c r="H71" s="6">
        <v>8733.7900000000009</v>
      </c>
      <c r="I71" s="2"/>
      <c r="J71" s="7">
        <f t="shared" si="30"/>
        <v>0.27400830389989644</v>
      </c>
      <c r="K71" s="2"/>
      <c r="L71" s="6">
        <f t="shared" si="31"/>
        <v>-1686.2400000000007</v>
      </c>
      <c r="M71" s="2"/>
      <c r="N71" s="7">
        <f t="shared" si="32"/>
        <v>-0.19307082034260045</v>
      </c>
      <c r="O71" s="11"/>
      <c r="P71" s="6">
        <v>24796.46</v>
      </c>
      <c r="Q71" s="2"/>
      <c r="R71" s="7">
        <f t="shared" si="33"/>
        <v>2.4596925802382943E-2</v>
      </c>
      <c r="S71" s="2"/>
      <c r="T71" s="6">
        <v>27311.52</v>
      </c>
      <c r="U71" s="2"/>
      <c r="V71" s="7">
        <f t="shared" si="34"/>
        <v>2.5390344831894694E-2</v>
      </c>
      <c r="W71" s="2"/>
      <c r="X71" s="6">
        <f t="shared" si="35"/>
        <v>-2515.0600000000013</v>
      </c>
      <c r="Y71" s="2"/>
      <c r="Z71" s="7">
        <f t="shared" si="36"/>
        <v>-9.2087880864924448E-2</v>
      </c>
    </row>
    <row r="72" spans="1:26" s="24" customFormat="1" hidden="1" outlineLevel="2" x14ac:dyDescent="0.25">
      <c r="A72" s="29"/>
      <c r="B72" s="11" t="str">
        <f>CONCATENATE("          ", "6005", " - ", "TEMPORARY WAGES-HOURLY")</f>
        <v xml:space="preserve">          6005 - TEMPORARY WAGES-HOURLY</v>
      </c>
      <c r="C72" s="11"/>
      <c r="D72" s="6">
        <v>2403.63</v>
      </c>
      <c r="E72" s="2"/>
      <c r="F72" s="7">
        <f t="shared" si="29"/>
        <v>6.9190174749355723E-2</v>
      </c>
      <c r="G72" s="2"/>
      <c r="H72" s="6">
        <v>1498.67</v>
      </c>
      <c r="I72" s="2"/>
      <c r="J72" s="7">
        <f t="shared" si="30"/>
        <v>4.7018307608227103E-2</v>
      </c>
      <c r="K72" s="2"/>
      <c r="L72" s="6">
        <f t="shared" si="31"/>
        <v>904.96</v>
      </c>
      <c r="M72" s="2"/>
      <c r="N72" s="7">
        <f t="shared" si="32"/>
        <v>0.60384207330499706</v>
      </c>
      <c r="O72" s="11"/>
      <c r="P72" s="6">
        <v>10540.86</v>
      </c>
      <c r="Q72" s="2"/>
      <c r="R72" s="7">
        <f t="shared" si="33"/>
        <v>1.045603893915931E-2</v>
      </c>
      <c r="S72" s="2"/>
      <c r="T72" s="6">
        <v>12838</v>
      </c>
      <c r="U72" s="2"/>
      <c r="V72" s="7">
        <f t="shared" si="34"/>
        <v>1.1934936135076485E-2</v>
      </c>
      <c r="W72" s="2"/>
      <c r="X72" s="6">
        <f t="shared" si="35"/>
        <v>-2297.1399999999994</v>
      </c>
      <c r="Y72" s="2"/>
      <c r="Z72" s="7">
        <f t="shared" si="36"/>
        <v>-0.17893285558498204</v>
      </c>
    </row>
    <row r="73" spans="1:26" s="24" customFormat="1" hidden="1" outlineLevel="2" x14ac:dyDescent="0.25">
      <c r="A73" s="29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9"/>
        <v>0</v>
      </c>
      <c r="G73" s="2"/>
      <c r="H73" s="6"/>
      <c r="I73" s="2"/>
      <c r="J73" s="7">
        <f t="shared" si="30"/>
        <v>0</v>
      </c>
      <c r="K73" s="2"/>
      <c r="L73" s="6">
        <f t="shared" si="31"/>
        <v>0</v>
      </c>
      <c r="M73" s="2"/>
      <c r="N73" s="7">
        <f t="shared" si="32"/>
        <v>0</v>
      </c>
      <c r="O73" s="11"/>
      <c r="P73" s="6"/>
      <c r="Q73" s="2"/>
      <c r="R73" s="7">
        <f t="shared" si="33"/>
        <v>0</v>
      </c>
      <c r="S73" s="2"/>
      <c r="T73" s="6">
        <v>502.29</v>
      </c>
      <c r="U73" s="2"/>
      <c r="V73" s="7">
        <f t="shared" si="34"/>
        <v>4.6695739767000835E-4</v>
      </c>
      <c r="W73" s="2"/>
      <c r="X73" s="6">
        <f t="shared" si="35"/>
        <v>-502.29</v>
      </c>
      <c r="Y73" s="2"/>
      <c r="Z73" s="7">
        <f t="shared" si="36"/>
        <v>-1</v>
      </c>
    </row>
    <row r="74" spans="1:26" s="24" customFormat="1" hidden="1" outlineLevel="2" x14ac:dyDescent="0.25">
      <c r="A74" s="29"/>
      <c r="B74" s="11" t="str">
        <f>CONCATENATE("          ", "6007", " - ", "STUDENT HOURLY")</f>
        <v xml:space="preserve">          6007 - STUDENT HOURLY</v>
      </c>
      <c r="C74" s="11"/>
      <c r="D74" s="6">
        <v>-240.57</v>
      </c>
      <c r="E74" s="2"/>
      <c r="F74" s="7">
        <f t="shared" si="29"/>
        <v>-6.9249761150645085E-3</v>
      </c>
      <c r="G74" s="2"/>
      <c r="H74" s="6">
        <v>-163.18</v>
      </c>
      <c r="I74" s="2"/>
      <c r="J74" s="7">
        <f t="shared" si="30"/>
        <v>-5.119504250776021E-3</v>
      </c>
      <c r="K74" s="2"/>
      <c r="L74" s="6">
        <f t="shared" si="31"/>
        <v>-77.389999999999986</v>
      </c>
      <c r="M74" s="2"/>
      <c r="N74" s="7">
        <f t="shared" si="32"/>
        <v>0.47426155166074263</v>
      </c>
      <c r="O74" s="11"/>
      <c r="P74" s="6">
        <v>16343.95</v>
      </c>
      <c r="Q74" s="2"/>
      <c r="R74" s="7">
        <f t="shared" si="33"/>
        <v>1.6212432156358477E-2</v>
      </c>
      <c r="S74" s="2"/>
      <c r="T74" s="6">
        <v>11960.19</v>
      </c>
      <c r="U74" s="2"/>
      <c r="V74" s="7">
        <f t="shared" si="34"/>
        <v>1.1118873953371274E-2</v>
      </c>
      <c r="W74" s="2"/>
      <c r="X74" s="6">
        <f t="shared" si="35"/>
        <v>4383.76</v>
      </c>
      <c r="Y74" s="2"/>
      <c r="Z74" s="7">
        <f t="shared" si="36"/>
        <v>0.36652929426706432</v>
      </c>
    </row>
    <row r="75" spans="1:26" s="24" customFormat="1" hidden="1" outlineLevel="2" x14ac:dyDescent="0.25">
      <c r="A75" s="29"/>
      <c r="B75" s="11" t="str">
        <f>CONCATENATE("          ", "6008", " - ", "STUDENT HOURLY-FICA EXEMPT")</f>
        <v xml:space="preserve">          6008 - STUDENT HOURLY-FICA EXEMPT</v>
      </c>
      <c r="C75" s="11"/>
      <c r="D75" s="6">
        <v>166.6</v>
      </c>
      <c r="E75" s="2"/>
      <c r="F75" s="7">
        <f t="shared" si="29"/>
        <v>4.7956978042555058E-3</v>
      </c>
      <c r="G75" s="2"/>
      <c r="H75" s="6"/>
      <c r="I75" s="2"/>
      <c r="J75" s="7">
        <f t="shared" si="30"/>
        <v>0</v>
      </c>
      <c r="K75" s="2"/>
      <c r="L75" s="6">
        <f t="shared" si="31"/>
        <v>166.6</v>
      </c>
      <c r="M75" s="2"/>
      <c r="N75" s="7">
        <f t="shared" si="32"/>
        <v>0</v>
      </c>
      <c r="O75" s="11"/>
      <c r="P75" s="6">
        <v>3966.48</v>
      </c>
      <c r="Q75" s="2"/>
      <c r="R75" s="7">
        <f t="shared" si="33"/>
        <v>3.9345622018883298E-3</v>
      </c>
      <c r="S75" s="2"/>
      <c r="T75" s="6"/>
      <c r="U75" s="2"/>
      <c r="V75" s="7">
        <f t="shared" si="34"/>
        <v>0</v>
      </c>
      <c r="W75" s="2"/>
      <c r="X75" s="6">
        <f t="shared" si="35"/>
        <v>3966.48</v>
      </c>
      <c r="Y75" s="2"/>
      <c r="Z75" s="7">
        <f t="shared" si="36"/>
        <v>0</v>
      </c>
    </row>
    <row r="76" spans="1:26" s="28" customFormat="1" outlineLevel="1" collapsed="1" x14ac:dyDescent="0.2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113.63</v>
      </c>
      <c r="E76" s="1"/>
      <c r="F76" s="5">
        <f t="shared" ref="F76:F93" si="37">IF(D$12=0,0,D76/D$12)</f>
        <v>3.2709192166719878E-3</v>
      </c>
      <c r="G76" s="1"/>
      <c r="H76" s="1">
        <f>SUM(OSRRefH22_2x_0)</f>
        <v>0</v>
      </c>
      <c r="I76" s="1"/>
      <c r="J76" s="5">
        <f t="shared" ref="J76:J93" si="38">IF(H$12=0,0,H76/H$12)</f>
        <v>0</v>
      </c>
      <c r="K76" s="1"/>
      <c r="L76" s="1">
        <f t="shared" ref="L76:L93" si="39">+D76-H76</f>
        <v>113.63</v>
      </c>
      <c r="M76" s="1"/>
      <c r="N76" s="5">
        <f t="shared" ref="N76:N93" si="40">IF(H76=0,0,L76/H76)</f>
        <v>0</v>
      </c>
      <c r="O76" s="14"/>
      <c r="P76" s="1">
        <f>SUM(OSRRefP22_2x_0)</f>
        <v>233.05</v>
      </c>
      <c r="Q76" s="1"/>
      <c r="R76" s="5">
        <f t="shared" ref="R76:R93" si="41">IF(P$12=0,0,P76/P$12)</f>
        <v>2.3117467405610903E-4</v>
      </c>
      <c r="S76" s="1"/>
      <c r="T76" s="1">
        <f>SUM(OSRRefT22_2x_0)</f>
        <v>1359.88</v>
      </c>
      <c r="U76" s="1"/>
      <c r="V76" s="5">
        <f t="shared" ref="V76:V93" si="42">IF(T$12=0,0,T76/T$12)</f>
        <v>1.2642219155139282E-3</v>
      </c>
      <c r="W76" s="1"/>
      <c r="X76" s="1">
        <f t="shared" ref="X76:X93" si="43">+P76-T76</f>
        <v>-1126.8300000000002</v>
      </c>
      <c r="Y76" s="1"/>
      <c r="Z76" s="5">
        <f t="shared" ref="Z76:Z93" si="44">IF(T76=0,0,X76/T76)</f>
        <v>-0.82862458452216381</v>
      </c>
    </row>
    <row r="77" spans="1:26" s="24" customFormat="1" hidden="1" outlineLevel="2" x14ac:dyDescent="0.25">
      <c r="A77" s="29"/>
      <c r="B77" s="11" t="str">
        <f>CONCATENATE("          ", "6362", " - ", "ADVERTISING EXPENSE")</f>
        <v xml:space="preserve">          6362 - ADVERTISING EXPENSE</v>
      </c>
      <c r="C77" s="11"/>
      <c r="D77" s="6">
        <v>113.63</v>
      </c>
      <c r="E77" s="2"/>
      <c r="F77" s="7">
        <f t="shared" si="37"/>
        <v>3.2709192166719878E-3</v>
      </c>
      <c r="G77" s="2"/>
      <c r="H77" s="6"/>
      <c r="I77" s="2"/>
      <c r="J77" s="7">
        <f t="shared" si="38"/>
        <v>0</v>
      </c>
      <c r="K77" s="2"/>
      <c r="L77" s="6">
        <f t="shared" si="39"/>
        <v>113.63</v>
      </c>
      <c r="M77" s="2"/>
      <c r="N77" s="7">
        <f t="shared" si="40"/>
        <v>0</v>
      </c>
      <c r="O77" s="11"/>
      <c r="P77" s="6">
        <v>233.05</v>
      </c>
      <c r="Q77" s="2"/>
      <c r="R77" s="7">
        <f t="shared" si="41"/>
        <v>2.3117467405610903E-4</v>
      </c>
      <c r="S77" s="2"/>
      <c r="T77" s="6">
        <v>1359.88</v>
      </c>
      <c r="U77" s="2"/>
      <c r="V77" s="7">
        <f t="shared" si="42"/>
        <v>1.2642219155139282E-3</v>
      </c>
      <c r="W77" s="2"/>
      <c r="X77" s="6">
        <f t="shared" si="43"/>
        <v>-1126.8300000000002</v>
      </c>
      <c r="Y77" s="2"/>
      <c r="Z77" s="7">
        <f t="shared" si="44"/>
        <v>-0.82862458452216381</v>
      </c>
    </row>
    <row r="78" spans="1:26" s="28" customFormat="1" outlineLevel="1" collapsed="1" x14ac:dyDescent="0.2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0</v>
      </c>
      <c r="E78" s="1"/>
      <c r="F78" s="5">
        <f t="shared" si="37"/>
        <v>0</v>
      </c>
      <c r="G78" s="1"/>
      <c r="H78" s="1">
        <f>SUM(OSRRefH22_3x_0)</f>
        <v>0</v>
      </c>
      <c r="I78" s="1"/>
      <c r="J78" s="5">
        <f t="shared" si="38"/>
        <v>0</v>
      </c>
      <c r="K78" s="1"/>
      <c r="L78" s="1">
        <f t="shared" si="39"/>
        <v>0</v>
      </c>
      <c r="M78" s="1"/>
      <c r="N78" s="5">
        <f t="shared" si="40"/>
        <v>0</v>
      </c>
      <c r="O78" s="14"/>
      <c r="P78" s="1">
        <f>SUM(OSRRefP22_3x_0)</f>
        <v>0</v>
      </c>
      <c r="Q78" s="1"/>
      <c r="R78" s="5">
        <f t="shared" si="41"/>
        <v>0</v>
      </c>
      <c r="S78" s="1"/>
      <c r="T78" s="1">
        <f>SUM(OSRRefT22_3x_0)</f>
        <v>0</v>
      </c>
      <c r="U78" s="1"/>
      <c r="V78" s="5">
        <f t="shared" si="42"/>
        <v>0</v>
      </c>
      <c r="W78" s="1"/>
      <c r="X78" s="1">
        <f t="shared" si="43"/>
        <v>0</v>
      </c>
      <c r="Y78" s="1"/>
      <c r="Z78" s="5">
        <f t="shared" si="44"/>
        <v>0</v>
      </c>
    </row>
    <row r="79" spans="1:26" s="24" customFormat="1" hidden="1" outlineLevel="2" x14ac:dyDescent="0.25">
      <c r="A79" s="29"/>
      <c r="B79" s="11" t="str">
        <f>CONCATENATE("          ", "6382", " - ", "DISCOUNTS/MARK DOWNS")</f>
        <v xml:space="preserve">          6382 - DISCOUNTS/MARK DOWNS</v>
      </c>
      <c r="C79" s="11"/>
      <c r="D79" s="6"/>
      <c r="E79" s="2"/>
      <c r="F79" s="7">
        <f t="shared" si="37"/>
        <v>0</v>
      </c>
      <c r="G79" s="2"/>
      <c r="H79" s="6">
        <v>0</v>
      </c>
      <c r="I79" s="2"/>
      <c r="J79" s="7">
        <f t="shared" si="38"/>
        <v>0</v>
      </c>
      <c r="K79" s="2"/>
      <c r="L79" s="6">
        <f t="shared" si="39"/>
        <v>0</v>
      </c>
      <c r="M79" s="2"/>
      <c r="N79" s="7">
        <f t="shared" si="40"/>
        <v>0</v>
      </c>
      <c r="O79" s="11"/>
      <c r="P79" s="6"/>
      <c r="Q79" s="2"/>
      <c r="R79" s="7">
        <f t="shared" si="41"/>
        <v>0</v>
      </c>
      <c r="S79" s="2"/>
      <c r="T79" s="6">
        <v>0</v>
      </c>
      <c r="U79" s="2"/>
      <c r="V79" s="7">
        <f t="shared" si="42"/>
        <v>0</v>
      </c>
      <c r="W79" s="2"/>
      <c r="X79" s="6">
        <f t="shared" si="43"/>
        <v>0</v>
      </c>
      <c r="Y79" s="2"/>
      <c r="Z79" s="7">
        <f t="shared" si="44"/>
        <v>0</v>
      </c>
    </row>
    <row r="80" spans="1:26" s="28" customFormat="1" outlineLevel="1" collapsed="1" x14ac:dyDescent="0.25">
      <c r="A80" s="27"/>
      <c r="B80" s="14" t="str">
        <f>CONCATENATE("     ","Employees' Appreciation                           ")</f>
        <v xml:space="preserve">     Employees' Appreciation                           </v>
      </c>
      <c r="C80" s="14"/>
      <c r="D80" s="1">
        <f>SUM(OSRRefD22_4x_0)</f>
        <v>0</v>
      </c>
      <c r="E80" s="1"/>
      <c r="F80" s="5">
        <f t="shared" si="37"/>
        <v>0</v>
      </c>
      <c r="G80" s="1"/>
      <c r="H80" s="1">
        <f>SUM(OSRRefH22_4x_0)</f>
        <v>0</v>
      </c>
      <c r="I80" s="1"/>
      <c r="J80" s="5">
        <f t="shared" si="38"/>
        <v>0</v>
      </c>
      <c r="K80" s="1"/>
      <c r="L80" s="1">
        <f t="shared" si="39"/>
        <v>0</v>
      </c>
      <c r="M80" s="1"/>
      <c r="N80" s="5">
        <f t="shared" si="40"/>
        <v>0</v>
      </c>
      <c r="O80" s="14"/>
      <c r="P80" s="1">
        <f>SUM(OSRRefP22_4x_0)</f>
        <v>0</v>
      </c>
      <c r="Q80" s="1"/>
      <c r="R80" s="5">
        <f t="shared" si="41"/>
        <v>0</v>
      </c>
      <c r="S80" s="1"/>
      <c r="T80" s="1">
        <f>SUM(OSRRefT22_4x_0)</f>
        <v>107.7</v>
      </c>
      <c r="U80" s="1"/>
      <c r="V80" s="5">
        <f t="shared" si="42"/>
        <v>1.0012405528491489E-4</v>
      </c>
      <c r="W80" s="1"/>
      <c r="X80" s="1">
        <f t="shared" si="43"/>
        <v>-107.7</v>
      </c>
      <c r="Y80" s="1"/>
      <c r="Z80" s="5">
        <f t="shared" si="44"/>
        <v>-1</v>
      </c>
    </row>
    <row r="81" spans="1:26" s="24" customFormat="1" hidden="1" outlineLevel="2" x14ac:dyDescent="0.25">
      <c r="A81" s="29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7"/>
        <v>0</v>
      </c>
      <c r="G81" s="2"/>
      <c r="H81" s="6"/>
      <c r="I81" s="2"/>
      <c r="J81" s="7">
        <f t="shared" si="38"/>
        <v>0</v>
      </c>
      <c r="K81" s="2"/>
      <c r="L81" s="6">
        <f t="shared" si="39"/>
        <v>0</v>
      </c>
      <c r="M81" s="2"/>
      <c r="N81" s="7">
        <f t="shared" si="40"/>
        <v>0</v>
      </c>
      <c r="O81" s="11"/>
      <c r="P81" s="6"/>
      <c r="Q81" s="2"/>
      <c r="R81" s="7">
        <f t="shared" si="41"/>
        <v>0</v>
      </c>
      <c r="S81" s="2"/>
      <c r="T81" s="6">
        <v>107.7</v>
      </c>
      <c r="U81" s="2"/>
      <c r="V81" s="7">
        <f t="shared" si="42"/>
        <v>1.0012405528491489E-4</v>
      </c>
      <c r="W81" s="2"/>
      <c r="X81" s="6">
        <f t="shared" si="43"/>
        <v>-107.7</v>
      </c>
      <c r="Y81" s="2"/>
      <c r="Z81" s="7">
        <f t="shared" si="44"/>
        <v>-1</v>
      </c>
    </row>
    <row r="82" spans="1:26" s="28" customFormat="1" outlineLevel="1" collapsed="1" x14ac:dyDescent="0.25">
      <c r="A82" s="27"/>
      <c r="B82" s="14" t="str">
        <f>CONCATENATE("     ","Equipment Rental                                  ")</f>
        <v xml:space="preserve">     Equipment Rental                                  </v>
      </c>
      <c r="C82" s="14"/>
      <c r="D82" s="1">
        <f>SUM(OSRRefD22_5x_0)</f>
        <v>91.26</v>
      </c>
      <c r="E82" s="1"/>
      <c r="F82" s="5">
        <f t="shared" si="37"/>
        <v>2.6269830829313175E-3</v>
      </c>
      <c r="G82" s="1"/>
      <c r="H82" s="1">
        <f>SUM(OSRRefH22_5x_0)</f>
        <v>182.52</v>
      </c>
      <c r="I82" s="1"/>
      <c r="J82" s="5">
        <f t="shared" si="38"/>
        <v>5.7262649580318622E-3</v>
      </c>
      <c r="K82" s="1"/>
      <c r="L82" s="1">
        <f t="shared" si="39"/>
        <v>-91.26</v>
      </c>
      <c r="M82" s="1"/>
      <c r="N82" s="5">
        <f t="shared" si="40"/>
        <v>-0.5</v>
      </c>
      <c r="O82" s="14"/>
      <c r="P82" s="1">
        <f>SUM(OSRRefP22_5x_0)</f>
        <v>365.04</v>
      </c>
      <c r="Q82" s="1"/>
      <c r="R82" s="5">
        <f t="shared" si="41"/>
        <v>3.6210256604780964E-4</v>
      </c>
      <c r="S82" s="1"/>
      <c r="T82" s="1">
        <f>SUM(OSRRefT22_5x_0)</f>
        <v>456.3</v>
      </c>
      <c r="U82" s="1"/>
      <c r="V82" s="5">
        <f t="shared" si="42"/>
        <v>4.242024737837202E-4</v>
      </c>
      <c r="W82" s="1"/>
      <c r="X82" s="1">
        <f t="shared" si="43"/>
        <v>-91.259999999999991</v>
      </c>
      <c r="Y82" s="1"/>
      <c r="Z82" s="5">
        <f t="shared" si="44"/>
        <v>-0.19999999999999998</v>
      </c>
    </row>
    <row r="83" spans="1:26" s="24" customFormat="1" hidden="1" outlineLevel="2" x14ac:dyDescent="0.25">
      <c r="A83" s="29"/>
      <c r="B83" s="11" t="str">
        <f>CONCATENATE("          ", "6351", " - ", "EQUIPMENT RENTAL")</f>
        <v xml:space="preserve">          6351 - EQUIPMENT RENTAL</v>
      </c>
      <c r="C83" s="11"/>
      <c r="D83" s="6">
        <v>91.26</v>
      </c>
      <c r="E83" s="2"/>
      <c r="F83" s="7">
        <f t="shared" si="37"/>
        <v>2.6269830829313175E-3</v>
      </c>
      <c r="G83" s="2"/>
      <c r="H83" s="6">
        <v>182.52</v>
      </c>
      <c r="I83" s="2"/>
      <c r="J83" s="7">
        <f t="shared" si="38"/>
        <v>5.7262649580318622E-3</v>
      </c>
      <c r="K83" s="2"/>
      <c r="L83" s="6">
        <f t="shared" si="39"/>
        <v>-91.26</v>
      </c>
      <c r="M83" s="2"/>
      <c r="N83" s="7">
        <f t="shared" si="40"/>
        <v>-0.5</v>
      </c>
      <c r="O83" s="11"/>
      <c r="P83" s="6">
        <v>365.04</v>
      </c>
      <c r="Q83" s="2"/>
      <c r="R83" s="7">
        <f t="shared" si="41"/>
        <v>3.6210256604780964E-4</v>
      </c>
      <c r="S83" s="2"/>
      <c r="T83" s="6">
        <v>456.3</v>
      </c>
      <c r="U83" s="2"/>
      <c r="V83" s="7">
        <f t="shared" si="42"/>
        <v>4.242024737837202E-4</v>
      </c>
      <c r="W83" s="2"/>
      <c r="X83" s="6">
        <f t="shared" si="43"/>
        <v>-91.259999999999991</v>
      </c>
      <c r="Y83" s="2"/>
      <c r="Z83" s="7">
        <f t="shared" si="44"/>
        <v>-0.19999999999999998</v>
      </c>
    </row>
    <row r="84" spans="1:26" s="28" customFormat="1" outlineLevel="1" collapsed="1" x14ac:dyDescent="0.25">
      <c r="A84" s="27"/>
      <c r="B84" s="14" t="str">
        <f>CONCATENATE("     ","Freight out/Postage                               ")</f>
        <v xml:space="preserve">     Freight out/Postage                               </v>
      </c>
      <c r="C84" s="14"/>
      <c r="D84" s="1">
        <f>SUM(OSRRefD22_6x_0)</f>
        <v>13.21</v>
      </c>
      <c r="E84" s="1"/>
      <c r="F84" s="5">
        <f t="shared" si="37"/>
        <v>3.8025911160993541E-4</v>
      </c>
      <c r="G84" s="1"/>
      <c r="H84" s="1">
        <f>SUM(OSRRefH22_6x_0)</f>
        <v>29.84</v>
      </c>
      <c r="I84" s="1"/>
      <c r="J84" s="5">
        <f t="shared" si="38"/>
        <v>9.3618094645885801E-4</v>
      </c>
      <c r="K84" s="1"/>
      <c r="L84" s="1">
        <f t="shared" si="39"/>
        <v>-16.63</v>
      </c>
      <c r="M84" s="1"/>
      <c r="N84" s="5">
        <f t="shared" si="40"/>
        <v>-0.55730563002680966</v>
      </c>
      <c r="O84" s="14"/>
      <c r="P84" s="1">
        <f>SUM(OSRRefP22_6x_0)</f>
        <v>393.75</v>
      </c>
      <c r="Q84" s="1"/>
      <c r="R84" s="5">
        <f t="shared" si="41"/>
        <v>3.9058154005403527E-4</v>
      </c>
      <c r="S84" s="1"/>
      <c r="T84" s="1">
        <f>SUM(OSRRefT22_6x_0)</f>
        <v>566</v>
      </c>
      <c r="U84" s="1"/>
      <c r="V84" s="5">
        <f t="shared" si="42"/>
        <v>5.2618584300150257E-4</v>
      </c>
      <c r="W84" s="1"/>
      <c r="X84" s="1">
        <f t="shared" si="43"/>
        <v>-172.25</v>
      </c>
      <c r="Y84" s="1"/>
      <c r="Z84" s="5">
        <f t="shared" si="44"/>
        <v>-0.30432862190812721</v>
      </c>
    </row>
    <row r="85" spans="1:26" s="24" customFormat="1" hidden="1" outlineLevel="2" x14ac:dyDescent="0.25">
      <c r="A85" s="29"/>
      <c r="B85" s="11" t="str">
        <f>CONCATENATE("          ", "6305", " - ", "FREIGHT OUT")</f>
        <v xml:space="preserve">          6305 - FREIGHT OUT</v>
      </c>
      <c r="C85" s="11"/>
      <c r="D85" s="6">
        <v>13.21</v>
      </c>
      <c r="E85" s="2"/>
      <c r="F85" s="7">
        <f t="shared" si="37"/>
        <v>3.8025911160993541E-4</v>
      </c>
      <c r="G85" s="2"/>
      <c r="H85" s="6">
        <v>29.84</v>
      </c>
      <c r="I85" s="2"/>
      <c r="J85" s="7">
        <f t="shared" si="38"/>
        <v>9.3618094645885801E-4</v>
      </c>
      <c r="K85" s="2"/>
      <c r="L85" s="6">
        <f t="shared" si="39"/>
        <v>-16.63</v>
      </c>
      <c r="M85" s="2"/>
      <c r="N85" s="7">
        <f t="shared" si="40"/>
        <v>-0.55730563002680966</v>
      </c>
      <c r="O85" s="11"/>
      <c r="P85" s="6">
        <v>393.75</v>
      </c>
      <c r="Q85" s="2"/>
      <c r="R85" s="7">
        <f t="shared" si="41"/>
        <v>3.9058154005403527E-4</v>
      </c>
      <c r="S85" s="2"/>
      <c r="T85" s="6">
        <v>566</v>
      </c>
      <c r="U85" s="2"/>
      <c r="V85" s="7">
        <f t="shared" si="42"/>
        <v>5.2618584300150257E-4</v>
      </c>
      <c r="W85" s="2"/>
      <c r="X85" s="6">
        <f t="shared" si="43"/>
        <v>-172.25</v>
      </c>
      <c r="Y85" s="2"/>
      <c r="Z85" s="7">
        <f t="shared" si="44"/>
        <v>-0.30432862190812721</v>
      </c>
    </row>
    <row r="86" spans="1:26" s="28" customFormat="1" outlineLevel="1" collapsed="1" x14ac:dyDescent="0.25">
      <c r="A86" s="27"/>
      <c r="B86" s="14" t="str">
        <f>CONCATENATE("     ","General                                           ")</f>
        <v xml:space="preserve">     General                                           </v>
      </c>
      <c r="C86" s="14"/>
      <c r="D86" s="1">
        <f>SUM(OSRRefD22_7x_0)</f>
        <v>0</v>
      </c>
      <c r="E86" s="1"/>
      <c r="F86" s="5">
        <f t="shared" si="37"/>
        <v>0</v>
      </c>
      <c r="G86" s="1"/>
      <c r="H86" s="1">
        <f>SUM(OSRRefH22_7x_0)</f>
        <v>-40</v>
      </c>
      <c r="I86" s="1"/>
      <c r="J86" s="5">
        <f t="shared" si="38"/>
        <v>-1.2549342445829195E-3</v>
      </c>
      <c r="K86" s="1"/>
      <c r="L86" s="1">
        <f t="shared" si="39"/>
        <v>40</v>
      </c>
      <c r="M86" s="1"/>
      <c r="N86" s="5">
        <f t="shared" si="40"/>
        <v>-1</v>
      </c>
      <c r="O86" s="14"/>
      <c r="P86" s="1">
        <f>SUM(OSRRefP22_7x_0)</f>
        <v>0</v>
      </c>
      <c r="Q86" s="1"/>
      <c r="R86" s="5">
        <f t="shared" si="41"/>
        <v>0</v>
      </c>
      <c r="S86" s="1"/>
      <c r="T86" s="1">
        <f>SUM(OSRRefT22_7x_0)</f>
        <v>-4834.1899999999996</v>
      </c>
      <c r="U86" s="1"/>
      <c r="V86" s="5">
        <f t="shared" si="42"/>
        <v>-4.4941384105643698E-3</v>
      </c>
      <c r="W86" s="1"/>
      <c r="X86" s="1">
        <f t="shared" si="43"/>
        <v>4834.1899999999996</v>
      </c>
      <c r="Y86" s="1"/>
      <c r="Z86" s="5">
        <f t="shared" si="44"/>
        <v>-1</v>
      </c>
    </row>
    <row r="87" spans="1:26" s="24" customFormat="1" hidden="1" outlineLevel="2" x14ac:dyDescent="0.25">
      <c r="A87" s="29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7"/>
        <v>0</v>
      </c>
      <c r="G87" s="2"/>
      <c r="H87" s="6">
        <v>-40</v>
      </c>
      <c r="I87" s="2"/>
      <c r="J87" s="7">
        <f t="shared" si="38"/>
        <v>-1.2549342445829195E-3</v>
      </c>
      <c r="K87" s="2"/>
      <c r="L87" s="6">
        <f t="shared" si="39"/>
        <v>40</v>
      </c>
      <c r="M87" s="2"/>
      <c r="N87" s="7">
        <f t="shared" si="40"/>
        <v>-1</v>
      </c>
      <c r="O87" s="11"/>
      <c r="P87" s="6"/>
      <c r="Q87" s="2"/>
      <c r="R87" s="7">
        <f t="shared" si="41"/>
        <v>0</v>
      </c>
      <c r="S87" s="2"/>
      <c r="T87" s="6">
        <v>-4834.1899999999996</v>
      </c>
      <c r="U87" s="2"/>
      <c r="V87" s="7">
        <f t="shared" si="42"/>
        <v>-4.4941384105643698E-3</v>
      </c>
      <c r="W87" s="2"/>
      <c r="X87" s="6">
        <f t="shared" si="43"/>
        <v>4834.1899999999996</v>
      </c>
      <c r="Y87" s="2"/>
      <c r="Z87" s="7">
        <f t="shared" si="44"/>
        <v>-1</v>
      </c>
    </row>
    <row r="88" spans="1:26" s="28" customFormat="1" outlineLevel="1" collapsed="1" x14ac:dyDescent="0.25">
      <c r="A88" s="27"/>
      <c r="B88" s="14" t="str">
        <f>CONCATENATE("     ","Inventory Adjustment                              ")</f>
        <v xml:space="preserve">     Inventory Adjustment                              </v>
      </c>
      <c r="C88" s="14"/>
      <c r="D88" s="1">
        <f>SUM(OSRRefD22_8x_0)</f>
        <v>1000</v>
      </c>
      <c r="E88" s="1"/>
      <c r="F88" s="5">
        <f t="shared" si="37"/>
        <v>2.8785701105975427E-2</v>
      </c>
      <c r="G88" s="1"/>
      <c r="H88" s="1">
        <f>SUM(OSRRefH22_8x_0)</f>
        <v>1000</v>
      </c>
      <c r="I88" s="1"/>
      <c r="J88" s="5">
        <f t="shared" si="38"/>
        <v>3.1373356114572988E-2</v>
      </c>
      <c r="K88" s="1"/>
      <c r="L88" s="1">
        <f t="shared" si="39"/>
        <v>0</v>
      </c>
      <c r="M88" s="1"/>
      <c r="N88" s="5">
        <f t="shared" si="40"/>
        <v>0</v>
      </c>
      <c r="O88" s="14"/>
      <c r="P88" s="1">
        <f>SUM(OSRRefP22_8x_0)</f>
        <v>4000</v>
      </c>
      <c r="Q88" s="1"/>
      <c r="R88" s="5">
        <f t="shared" si="41"/>
        <v>3.9678124703902001E-3</v>
      </c>
      <c r="S88" s="1"/>
      <c r="T88" s="1">
        <f>SUM(OSRRefT22_8x_0)</f>
        <v>4000</v>
      </c>
      <c r="U88" s="1"/>
      <c r="V88" s="5">
        <f t="shared" si="42"/>
        <v>3.7186278657350006E-3</v>
      </c>
      <c r="W88" s="1"/>
      <c r="X88" s="1">
        <f t="shared" si="43"/>
        <v>0</v>
      </c>
      <c r="Y88" s="1"/>
      <c r="Z88" s="5">
        <f t="shared" si="44"/>
        <v>0</v>
      </c>
    </row>
    <row r="89" spans="1:26" s="24" customFormat="1" hidden="1" outlineLevel="2" x14ac:dyDescent="0.25">
      <c r="A89" s="29"/>
      <c r="B89" s="11" t="str">
        <f>CONCATENATE("          ", "6408", " - ", "INVENTORY ADJUSTMENT")</f>
        <v xml:space="preserve">          6408 - INVENTORY ADJUSTMENT</v>
      </c>
      <c r="C89" s="11"/>
      <c r="D89" s="6">
        <v>1000</v>
      </c>
      <c r="E89" s="2"/>
      <c r="F89" s="7">
        <f t="shared" si="37"/>
        <v>2.8785701105975427E-2</v>
      </c>
      <c r="G89" s="2"/>
      <c r="H89" s="6">
        <v>1000</v>
      </c>
      <c r="I89" s="2"/>
      <c r="J89" s="7">
        <f t="shared" si="38"/>
        <v>3.1373356114572988E-2</v>
      </c>
      <c r="K89" s="2"/>
      <c r="L89" s="6">
        <f t="shared" si="39"/>
        <v>0</v>
      </c>
      <c r="M89" s="2"/>
      <c r="N89" s="7">
        <f t="shared" si="40"/>
        <v>0</v>
      </c>
      <c r="O89" s="11"/>
      <c r="P89" s="6">
        <v>4000</v>
      </c>
      <c r="Q89" s="2"/>
      <c r="R89" s="7">
        <f t="shared" si="41"/>
        <v>3.9678124703902001E-3</v>
      </c>
      <c r="S89" s="2"/>
      <c r="T89" s="6">
        <v>4000</v>
      </c>
      <c r="U89" s="2"/>
      <c r="V89" s="7">
        <f t="shared" si="42"/>
        <v>3.7186278657350006E-3</v>
      </c>
      <c r="W89" s="2"/>
      <c r="X89" s="6">
        <f t="shared" si="43"/>
        <v>0</v>
      </c>
      <c r="Y89" s="2"/>
      <c r="Z89" s="7">
        <f t="shared" si="44"/>
        <v>0</v>
      </c>
    </row>
    <row r="90" spans="1:26" s="28" customFormat="1" outlineLevel="1" collapsed="1" x14ac:dyDescent="0.25">
      <c r="A90" s="27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SUM(OSRRefD22_9x_0)</f>
        <v>2932.91</v>
      </c>
      <c r="E90" s="1"/>
      <c r="F90" s="5">
        <f t="shared" si="37"/>
        <v>8.4425870630726388E-2</v>
      </c>
      <c r="G90" s="1"/>
      <c r="H90" s="1">
        <f>SUM(OSRRefH22_9x_0)</f>
        <v>19.670000000000002</v>
      </c>
      <c r="I90" s="1"/>
      <c r="J90" s="5">
        <f t="shared" si="38"/>
        <v>6.1711391477365079E-4</v>
      </c>
      <c r="K90" s="1"/>
      <c r="L90" s="1">
        <f t="shared" si="39"/>
        <v>2913.24</v>
      </c>
      <c r="M90" s="1"/>
      <c r="N90" s="5">
        <f t="shared" si="40"/>
        <v>148.10574478901879</v>
      </c>
      <c r="O90" s="14"/>
      <c r="P90" s="1">
        <f>SUM(OSRRefP22_9x_0)</f>
        <v>5833.44</v>
      </c>
      <c r="Q90" s="1"/>
      <c r="R90" s="5">
        <f t="shared" si="41"/>
        <v>5.7864989943182512E-3</v>
      </c>
      <c r="S90" s="1"/>
      <c r="T90" s="1">
        <f>SUM(OSRRefT22_9x_0)</f>
        <v>111.47</v>
      </c>
      <c r="U90" s="1"/>
      <c r="V90" s="5">
        <f t="shared" si="42"/>
        <v>1.0362886204837012E-4</v>
      </c>
      <c r="W90" s="1"/>
      <c r="X90" s="1">
        <f t="shared" si="43"/>
        <v>5721.9699999999993</v>
      </c>
      <c r="Y90" s="1"/>
      <c r="Z90" s="5">
        <f t="shared" si="44"/>
        <v>51.331927872970297</v>
      </c>
    </row>
    <row r="91" spans="1:26" s="24" customFormat="1" hidden="1" outlineLevel="2" x14ac:dyDescent="0.25">
      <c r="A91" s="29"/>
      <c r="B91" s="11" t="str">
        <f>CONCATENATE("          ", "6371", " - ", "COMPUTER SOFTWARE MAINTENANCE")</f>
        <v xml:space="preserve">          6371 - COMPUTER SOFTWARE MAINTENANCE</v>
      </c>
      <c r="C91" s="11"/>
      <c r="D91" s="6">
        <v>2887.5</v>
      </c>
      <c r="E91" s="2"/>
      <c r="F91" s="7">
        <f t="shared" si="37"/>
        <v>8.3118711943504051E-2</v>
      </c>
      <c r="G91" s="2"/>
      <c r="H91" s="6"/>
      <c r="I91" s="2"/>
      <c r="J91" s="7">
        <f t="shared" si="38"/>
        <v>0</v>
      </c>
      <c r="K91" s="2"/>
      <c r="L91" s="6">
        <f t="shared" si="39"/>
        <v>2887.5</v>
      </c>
      <c r="M91" s="2"/>
      <c r="N91" s="7">
        <f t="shared" si="40"/>
        <v>0</v>
      </c>
      <c r="O91" s="11"/>
      <c r="P91" s="6">
        <v>5775</v>
      </c>
      <c r="Q91" s="2"/>
      <c r="R91" s="7">
        <f t="shared" si="41"/>
        <v>5.728529254125851E-3</v>
      </c>
      <c r="S91" s="2"/>
      <c r="T91" s="6"/>
      <c r="U91" s="2"/>
      <c r="V91" s="7">
        <f t="shared" si="42"/>
        <v>0</v>
      </c>
      <c r="W91" s="2"/>
      <c r="X91" s="6">
        <f t="shared" si="43"/>
        <v>5775</v>
      </c>
      <c r="Y91" s="2"/>
      <c r="Z91" s="7">
        <f t="shared" si="44"/>
        <v>0</v>
      </c>
    </row>
    <row r="92" spans="1:26" s="24" customFormat="1" hidden="1" outlineLevel="2" x14ac:dyDescent="0.25">
      <c r="A92" s="29"/>
      <c r="B92" s="11" t="str">
        <f>CONCATENATE("          ", "6373", " - ", "MAINTENANCE CONTRACTS")</f>
        <v xml:space="preserve">          6373 - MAINTENANCE CONTRACTS</v>
      </c>
      <c r="C92" s="11"/>
      <c r="D92" s="6">
        <v>45.41</v>
      </c>
      <c r="E92" s="2"/>
      <c r="F92" s="7">
        <f t="shared" si="37"/>
        <v>1.307158687222344E-3</v>
      </c>
      <c r="G92" s="2"/>
      <c r="H92" s="6">
        <v>19.670000000000002</v>
      </c>
      <c r="I92" s="2"/>
      <c r="J92" s="7">
        <f t="shared" si="38"/>
        <v>6.1711391477365079E-4</v>
      </c>
      <c r="K92" s="2"/>
      <c r="L92" s="6">
        <f t="shared" si="39"/>
        <v>25.739999999999995</v>
      </c>
      <c r="M92" s="2"/>
      <c r="N92" s="7">
        <f t="shared" si="40"/>
        <v>1.308591764107778</v>
      </c>
      <c r="O92" s="11"/>
      <c r="P92" s="6">
        <v>58.44</v>
      </c>
      <c r="Q92" s="2"/>
      <c r="R92" s="7">
        <f t="shared" si="41"/>
        <v>5.7969740192400814E-5</v>
      </c>
      <c r="S92" s="2"/>
      <c r="T92" s="6">
        <v>86.36</v>
      </c>
      <c r="U92" s="2"/>
      <c r="V92" s="7">
        <f t="shared" si="42"/>
        <v>8.0285175621218666E-5</v>
      </c>
      <c r="W92" s="2"/>
      <c r="X92" s="6">
        <f t="shared" si="43"/>
        <v>-27.92</v>
      </c>
      <c r="Y92" s="2"/>
      <c r="Z92" s="7">
        <f t="shared" si="44"/>
        <v>-0.32329782306623439</v>
      </c>
    </row>
    <row r="93" spans="1:26" s="24" customFormat="1" hidden="1" outlineLevel="2" x14ac:dyDescent="0.25">
      <c r="A93" s="29"/>
      <c r="B93" s="11" t="str">
        <f>CONCATENATE("          ", "6375", " - ", "OUTSIDE REPAIRS &amp; MAINTENANCE")</f>
        <v xml:space="preserve">          6375 - OUTSIDE REPAIRS &amp; MAINTENANCE</v>
      </c>
      <c r="C93" s="11"/>
      <c r="D93" s="6"/>
      <c r="E93" s="2"/>
      <c r="F93" s="7">
        <f t="shared" si="37"/>
        <v>0</v>
      </c>
      <c r="G93" s="2"/>
      <c r="H93" s="6"/>
      <c r="I93" s="2"/>
      <c r="J93" s="7">
        <f t="shared" si="38"/>
        <v>0</v>
      </c>
      <c r="K93" s="2"/>
      <c r="L93" s="6">
        <f t="shared" si="39"/>
        <v>0</v>
      </c>
      <c r="M93" s="2"/>
      <c r="N93" s="7">
        <f t="shared" si="40"/>
        <v>0</v>
      </c>
      <c r="O93" s="11"/>
      <c r="P93" s="6"/>
      <c r="Q93" s="2"/>
      <c r="R93" s="7">
        <f t="shared" si="41"/>
        <v>0</v>
      </c>
      <c r="S93" s="2"/>
      <c r="T93" s="6">
        <v>25.11</v>
      </c>
      <c r="U93" s="2"/>
      <c r="V93" s="7">
        <f t="shared" si="42"/>
        <v>2.3343686427151465E-5</v>
      </c>
      <c r="W93" s="2"/>
      <c r="X93" s="6">
        <f t="shared" si="43"/>
        <v>-25.11</v>
      </c>
      <c r="Y93" s="2"/>
      <c r="Z93" s="7">
        <f t="shared" si="44"/>
        <v>-1</v>
      </c>
    </row>
    <row r="94" spans="1:26" s="28" customFormat="1" outlineLevel="1" collapsed="1" x14ac:dyDescent="0.2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SUM(OSRRefD22_10x_0)</f>
        <v>904.08</v>
      </c>
      <c r="E94" s="1"/>
      <c r="F94" s="5">
        <f t="shared" ref="F94:F98" si="45">IF(D$12=0,0,D94/D$12)</f>
        <v>2.6024576655890266E-2</v>
      </c>
      <c r="G94" s="1"/>
      <c r="H94" s="1">
        <f>SUM(OSRRefH22_10x_0)</f>
        <v>790.32</v>
      </c>
      <c r="I94" s="1"/>
      <c r="J94" s="5">
        <f t="shared" ref="J94:J98" si="46">IF(H$12=0,0,H94/H$12)</f>
        <v>2.4794990804469327E-2</v>
      </c>
      <c r="K94" s="1"/>
      <c r="L94" s="1">
        <f t="shared" ref="L94:L98" si="47">+D94-H94</f>
        <v>113.75999999999999</v>
      </c>
      <c r="M94" s="1"/>
      <c r="N94" s="5">
        <f t="shared" ref="N94:N98" si="48">IF(H94=0,0,L94/H94)</f>
        <v>0.14394169450349223</v>
      </c>
      <c r="O94" s="14"/>
      <c r="P94" s="1">
        <f>SUM(OSRRefP22_10x_0)</f>
        <v>1076.8399999999999</v>
      </c>
      <c r="Q94" s="1"/>
      <c r="R94" s="5">
        <f t="shared" ref="R94:R98" si="49">IF(P$12=0,0,P94/P$12)</f>
        <v>1.0681747951537457E-3</v>
      </c>
      <c r="S94" s="1"/>
      <c r="T94" s="1">
        <f>SUM(OSRRefT22_10x_0)</f>
        <v>1423.36</v>
      </c>
      <c r="U94" s="1"/>
      <c r="V94" s="5">
        <f t="shared" ref="V94:V98" si="50">IF(T$12=0,0,T94/T$12)</f>
        <v>1.3232365397431425E-3</v>
      </c>
      <c r="W94" s="1"/>
      <c r="X94" s="1">
        <f t="shared" ref="X94:X98" si="51">+P94-T94</f>
        <v>-346.52</v>
      </c>
      <c r="Y94" s="1"/>
      <c r="Z94" s="5">
        <f t="shared" ref="Z94:Z98" si="52">IF(T94=0,0,X94/T94)</f>
        <v>-0.24345211330935251</v>
      </c>
    </row>
    <row r="95" spans="1:26" s="24" customFormat="1" hidden="1" outlineLevel="2" x14ac:dyDescent="0.25">
      <c r="A95" s="29"/>
      <c r="B95" s="11" t="str">
        <f>CONCATENATE("          ", "6258", " - ", "MEMBERSHIP DUES")</f>
        <v xml:space="preserve">          6258 - MEMBERSHIP DUES</v>
      </c>
      <c r="C95" s="11"/>
      <c r="D95" s="6">
        <v>904.08</v>
      </c>
      <c r="E95" s="2"/>
      <c r="F95" s="7">
        <f t="shared" si="45"/>
        <v>2.6024576655890266E-2</v>
      </c>
      <c r="G95" s="2"/>
      <c r="H95" s="6">
        <v>790.32</v>
      </c>
      <c r="I95" s="2"/>
      <c r="J95" s="7">
        <f t="shared" si="46"/>
        <v>2.4794990804469327E-2</v>
      </c>
      <c r="K95" s="2"/>
      <c r="L95" s="6">
        <f t="shared" si="47"/>
        <v>113.75999999999999</v>
      </c>
      <c r="M95" s="2"/>
      <c r="N95" s="7">
        <f t="shared" si="48"/>
        <v>0.14394169450349223</v>
      </c>
      <c r="O95" s="11"/>
      <c r="P95" s="6">
        <v>1076.8399999999999</v>
      </c>
      <c r="Q95" s="2"/>
      <c r="R95" s="7">
        <f t="shared" si="49"/>
        <v>1.0681747951537457E-3</v>
      </c>
      <c r="S95" s="2"/>
      <c r="T95" s="6">
        <v>1423.36</v>
      </c>
      <c r="U95" s="2"/>
      <c r="V95" s="7">
        <f t="shared" si="50"/>
        <v>1.3232365397431425E-3</v>
      </c>
      <c r="W95" s="2"/>
      <c r="X95" s="6">
        <f t="shared" si="51"/>
        <v>-346.52</v>
      </c>
      <c r="Y95" s="2"/>
      <c r="Z95" s="7">
        <f t="shared" si="52"/>
        <v>-0.24345211330935251</v>
      </c>
    </row>
    <row r="96" spans="1:26" s="28" customFormat="1" outlineLevel="1" collapsed="1" x14ac:dyDescent="0.25">
      <c r="A96" s="27"/>
      <c r="B96" s="14" t="str">
        <f>CONCATENATE("     ","Supplies                                          ")</f>
        <v xml:space="preserve">     Supplies                                          </v>
      </c>
      <c r="C96" s="14"/>
      <c r="D96" s="1">
        <f>SUM(OSRRefD22_11x_0)</f>
        <v>127.04</v>
      </c>
      <c r="E96" s="1"/>
      <c r="F96" s="5">
        <f t="shared" si="45"/>
        <v>3.6569354685031183E-3</v>
      </c>
      <c r="G96" s="1"/>
      <c r="H96" s="1">
        <f>SUM(OSRRefH22_11x_0)</f>
        <v>146.28</v>
      </c>
      <c r="I96" s="1"/>
      <c r="J96" s="5">
        <f t="shared" si="46"/>
        <v>4.5892945324397371E-3</v>
      </c>
      <c r="K96" s="1"/>
      <c r="L96" s="1">
        <f t="shared" si="47"/>
        <v>-19.239999999999995</v>
      </c>
      <c r="M96" s="1"/>
      <c r="N96" s="5">
        <f t="shared" si="48"/>
        <v>-0.13152857533497397</v>
      </c>
      <c r="O96" s="14"/>
      <c r="P96" s="1">
        <f>SUM(OSRRefP22_11x_0)</f>
        <v>736.93</v>
      </c>
      <c r="Q96" s="1"/>
      <c r="R96" s="5">
        <f t="shared" si="49"/>
        <v>7.3100001095116238E-4</v>
      </c>
      <c r="S96" s="1"/>
      <c r="T96" s="1">
        <f>SUM(OSRRefT22_11x_0)</f>
        <v>1235.25</v>
      </c>
      <c r="U96" s="1"/>
      <c r="V96" s="5">
        <f t="shared" si="50"/>
        <v>1.1483587677872898E-3</v>
      </c>
      <c r="W96" s="1"/>
      <c r="X96" s="1">
        <f t="shared" si="51"/>
        <v>-498.32000000000005</v>
      </c>
      <c r="Y96" s="1"/>
      <c r="Z96" s="5">
        <f t="shared" si="52"/>
        <v>-0.40341631248735077</v>
      </c>
    </row>
    <row r="97" spans="1:26" s="24" customFormat="1" hidden="1" outlineLevel="2" x14ac:dyDescent="0.25">
      <c r="A97" s="29"/>
      <c r="B97" s="11" t="str">
        <f>CONCATENATE("          ", "6241", " - ", "OFFICE EXPENSE")</f>
        <v xml:space="preserve">          6241 - OFFICE EXPENSE</v>
      </c>
      <c r="C97" s="11"/>
      <c r="D97" s="6">
        <v>127.04</v>
      </c>
      <c r="E97" s="2"/>
      <c r="F97" s="7">
        <f t="shared" si="45"/>
        <v>3.6569354685031183E-3</v>
      </c>
      <c r="G97" s="2"/>
      <c r="H97" s="6">
        <v>146.28</v>
      </c>
      <c r="I97" s="2"/>
      <c r="J97" s="7">
        <f t="shared" si="46"/>
        <v>4.5892945324397371E-3</v>
      </c>
      <c r="K97" s="2"/>
      <c r="L97" s="6">
        <f t="shared" si="47"/>
        <v>-19.239999999999995</v>
      </c>
      <c r="M97" s="2"/>
      <c r="N97" s="7">
        <f t="shared" si="48"/>
        <v>-0.13152857533497397</v>
      </c>
      <c r="O97" s="11"/>
      <c r="P97" s="6">
        <v>736.93</v>
      </c>
      <c r="Q97" s="2"/>
      <c r="R97" s="7">
        <f t="shared" si="49"/>
        <v>7.3100001095116238E-4</v>
      </c>
      <c r="S97" s="2"/>
      <c r="T97" s="6">
        <v>602.15</v>
      </c>
      <c r="U97" s="2"/>
      <c r="V97" s="7">
        <f t="shared" si="50"/>
        <v>5.597929423380826E-4</v>
      </c>
      <c r="W97" s="2"/>
      <c r="X97" s="6">
        <f t="shared" si="51"/>
        <v>134.77999999999997</v>
      </c>
      <c r="Y97" s="2"/>
      <c r="Z97" s="7">
        <f t="shared" si="52"/>
        <v>0.22383127127792074</v>
      </c>
    </row>
    <row r="98" spans="1:26" s="24" customFormat="1" hidden="1" outlineLevel="2" x14ac:dyDescent="0.25">
      <c r="A98" s="29"/>
      <c r="B98" s="11" t="str">
        <f>CONCATENATE("          ", "6247", " - ", "STORE SUPPLIES")</f>
        <v xml:space="preserve">          6247 - STORE SUPPLIES</v>
      </c>
      <c r="C98" s="11"/>
      <c r="D98" s="6"/>
      <c r="E98" s="2"/>
      <c r="F98" s="7">
        <f t="shared" si="45"/>
        <v>0</v>
      </c>
      <c r="G98" s="2"/>
      <c r="H98" s="6"/>
      <c r="I98" s="2"/>
      <c r="J98" s="7">
        <f t="shared" si="46"/>
        <v>0</v>
      </c>
      <c r="K98" s="2"/>
      <c r="L98" s="6">
        <f t="shared" si="47"/>
        <v>0</v>
      </c>
      <c r="M98" s="2"/>
      <c r="N98" s="7">
        <f t="shared" si="48"/>
        <v>0</v>
      </c>
      <c r="O98" s="11"/>
      <c r="P98" s="6"/>
      <c r="Q98" s="2"/>
      <c r="R98" s="7">
        <f t="shared" si="49"/>
        <v>0</v>
      </c>
      <c r="S98" s="2"/>
      <c r="T98" s="6">
        <v>633.1</v>
      </c>
      <c r="U98" s="2"/>
      <c r="V98" s="7">
        <f t="shared" si="50"/>
        <v>5.8856582544920724E-4</v>
      </c>
      <c r="W98" s="2"/>
      <c r="X98" s="6">
        <f t="shared" si="51"/>
        <v>-633.1</v>
      </c>
      <c r="Y98" s="2"/>
      <c r="Z98" s="7">
        <f t="shared" si="52"/>
        <v>-1</v>
      </c>
    </row>
    <row r="99" spans="1:26" s="28" customFormat="1" outlineLevel="1" collapsed="1" x14ac:dyDescent="0.25">
      <c r="A99" s="27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SUM(OSRRefD22_12x_0)</f>
        <v>611.9</v>
      </c>
      <c r="E99" s="1"/>
      <c r="F99" s="5">
        <f t="shared" ref="F99:F101" si="53">IF(D$12=0,0,D99/D$12)</f>
        <v>1.7613970506746363E-2</v>
      </c>
      <c r="G99" s="1"/>
      <c r="H99" s="1">
        <f>SUM(OSRRefH22_12x_0)</f>
        <v>-634.45000000000005</v>
      </c>
      <c r="I99" s="1"/>
      <c r="J99" s="5">
        <f t="shared" ref="J99:J101" si="54">IF(H$12=0,0,H99/H$12)</f>
        <v>-1.9904825786890835E-2</v>
      </c>
      <c r="K99" s="1"/>
      <c r="L99" s="1">
        <f t="shared" ref="L99:L101" si="55">+D99-H99</f>
        <v>1246.3499999999999</v>
      </c>
      <c r="M99" s="1"/>
      <c r="N99" s="5">
        <f t="shared" ref="N99:N101" si="56">IF(H99=0,0,L99/H99)</f>
        <v>-1.9644574040507523</v>
      </c>
      <c r="O99" s="14"/>
      <c r="P99" s="1">
        <f>SUM(OSRRefP22_12x_0)</f>
        <v>2455.0500000000002</v>
      </c>
      <c r="Q99" s="1"/>
      <c r="R99" s="5">
        <f t="shared" ref="R99:R101" si="57">IF(P$12=0,0,P99/P$12)</f>
        <v>2.4352945013578651E-3</v>
      </c>
      <c r="S99" s="1"/>
      <c r="T99" s="1">
        <f>SUM(OSRRefT22_12x_0)</f>
        <v>3233.85</v>
      </c>
      <c r="U99" s="1"/>
      <c r="V99" s="5">
        <f t="shared" ref="V99:V101" si="58">IF(T$12=0,0,T99/T$12)</f>
        <v>3.0063711809017826E-3</v>
      </c>
      <c r="W99" s="1"/>
      <c r="X99" s="1">
        <f t="shared" ref="X99:X101" si="59">+P99-T99</f>
        <v>-778.79999999999973</v>
      </c>
      <c r="Y99" s="1"/>
      <c r="Z99" s="5">
        <f t="shared" ref="Z99:Z101" si="60">IF(T99=0,0,X99/T99)</f>
        <v>-0.24082749663713524</v>
      </c>
    </row>
    <row r="100" spans="1:26" s="24" customFormat="1" hidden="1" outlineLevel="2" x14ac:dyDescent="0.25">
      <c r="A100" s="29"/>
      <c r="B100" s="11" t="str">
        <f>CONCATENATE("          ", "6303", " - ", "DATA PHONE LINES")</f>
        <v xml:space="preserve">          6303 - DATA PHONE LINES</v>
      </c>
      <c r="C100" s="11"/>
      <c r="D100" s="6"/>
      <c r="E100" s="2"/>
      <c r="F100" s="7">
        <f t="shared" si="53"/>
        <v>0</v>
      </c>
      <c r="G100" s="2"/>
      <c r="H100" s="6"/>
      <c r="I100" s="2"/>
      <c r="J100" s="7">
        <f t="shared" si="54"/>
        <v>0</v>
      </c>
      <c r="K100" s="2"/>
      <c r="L100" s="6">
        <f t="shared" si="55"/>
        <v>0</v>
      </c>
      <c r="M100" s="2"/>
      <c r="N100" s="7">
        <f t="shared" si="56"/>
        <v>0</v>
      </c>
      <c r="O100" s="11"/>
      <c r="P100" s="6">
        <v>295</v>
      </c>
      <c r="Q100" s="2"/>
      <c r="R100" s="7">
        <f t="shared" si="57"/>
        <v>2.9262616969127724E-4</v>
      </c>
      <c r="S100" s="2"/>
      <c r="T100" s="6">
        <v>1180</v>
      </c>
      <c r="U100" s="2"/>
      <c r="V100" s="7">
        <f t="shared" si="58"/>
        <v>1.0969952203918251E-3</v>
      </c>
      <c r="W100" s="2"/>
      <c r="X100" s="6">
        <f t="shared" si="59"/>
        <v>-885</v>
      </c>
      <c r="Y100" s="2"/>
      <c r="Z100" s="7">
        <f t="shared" si="60"/>
        <v>-0.75</v>
      </c>
    </row>
    <row r="101" spans="1:26" s="24" customFormat="1" hidden="1" outlineLevel="2" x14ac:dyDescent="0.25">
      <c r="A101" s="29"/>
      <c r="B101" s="11" t="str">
        <f>CONCATENATE("          ", "6309", " - ", "TELEPHONE")</f>
        <v xml:space="preserve">          6309 - TELEPHONE</v>
      </c>
      <c r="C101" s="11"/>
      <c r="D101" s="6">
        <v>611.9</v>
      </c>
      <c r="E101" s="2"/>
      <c r="F101" s="7">
        <f t="shared" si="53"/>
        <v>1.7613970506746363E-2</v>
      </c>
      <c r="G101" s="2"/>
      <c r="H101" s="6">
        <v>-634.45000000000005</v>
      </c>
      <c r="I101" s="2"/>
      <c r="J101" s="7">
        <f t="shared" si="54"/>
        <v>-1.9904825786890835E-2</v>
      </c>
      <c r="K101" s="2"/>
      <c r="L101" s="6">
        <f t="shared" si="55"/>
        <v>1246.3499999999999</v>
      </c>
      <c r="M101" s="2"/>
      <c r="N101" s="7">
        <f t="shared" si="56"/>
        <v>-1.9644574040507523</v>
      </c>
      <c r="O101" s="11"/>
      <c r="P101" s="6">
        <v>2160.0500000000002</v>
      </c>
      <c r="Q101" s="2"/>
      <c r="R101" s="7">
        <f t="shared" si="57"/>
        <v>2.1426683316665878E-3</v>
      </c>
      <c r="S101" s="2"/>
      <c r="T101" s="6">
        <v>2053.85</v>
      </c>
      <c r="U101" s="2"/>
      <c r="V101" s="7">
        <f t="shared" si="58"/>
        <v>1.9093759605099576E-3</v>
      </c>
      <c r="W101" s="2"/>
      <c r="X101" s="6">
        <f t="shared" si="59"/>
        <v>106.20000000000027</v>
      </c>
      <c r="Y101" s="2"/>
      <c r="Z101" s="7">
        <f t="shared" si="60"/>
        <v>5.1707768337512609E-2</v>
      </c>
    </row>
    <row r="102" spans="1:26" s="28" customFormat="1" outlineLevel="1" collapsed="1" x14ac:dyDescent="0.25">
      <c r="A102" s="27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SUM(OSRRefD22_13x_0)</f>
        <v>0</v>
      </c>
      <c r="E102" s="1"/>
      <c r="F102" s="5">
        <f t="shared" ref="F102:F103" si="61">IF(D$12=0,0,D102/D$12)</f>
        <v>0</v>
      </c>
      <c r="G102" s="1"/>
      <c r="H102" s="1">
        <f>SUM(OSRRefH22_13x_0)</f>
        <v>0</v>
      </c>
      <c r="I102" s="1"/>
      <c r="J102" s="5">
        <f t="shared" ref="J102:J103" si="62">IF(H$12=0,0,H102/H$12)</f>
        <v>0</v>
      </c>
      <c r="K102" s="1"/>
      <c r="L102" s="1">
        <f t="shared" ref="L102:L103" si="63">+D102-H102</f>
        <v>0</v>
      </c>
      <c r="M102" s="1"/>
      <c r="N102" s="5">
        <f t="shared" ref="N102:N103" si="64">IF(H102=0,0,L102/H102)</f>
        <v>0</v>
      </c>
      <c r="O102" s="14"/>
      <c r="P102" s="1">
        <f>SUM(OSRRefP22_13x_0)</f>
        <v>0</v>
      </c>
      <c r="Q102" s="1"/>
      <c r="R102" s="5">
        <f t="shared" ref="R102:R103" si="65">IF(P$12=0,0,P102/P$12)</f>
        <v>0</v>
      </c>
      <c r="S102" s="1"/>
      <c r="T102" s="1">
        <f>SUM(OSRRefT22_13x_0)</f>
        <v>0.16</v>
      </c>
      <c r="U102" s="1"/>
      <c r="V102" s="5">
        <f t="shared" ref="V102:V103" si="66">IF(T$12=0,0,T102/T$12)</f>
        <v>1.4874511462940002E-7</v>
      </c>
      <c r="W102" s="1"/>
      <c r="X102" s="1">
        <f t="shared" ref="X102:X103" si="67">+P102-T102</f>
        <v>-0.16</v>
      </c>
      <c r="Y102" s="1"/>
      <c r="Z102" s="5">
        <f t="shared" ref="Z102:Z103" si="68">IF(T102=0,0,X102/T102)</f>
        <v>-1</v>
      </c>
    </row>
    <row r="103" spans="1:26" s="24" customFormat="1" hidden="1" outlineLevel="2" x14ac:dyDescent="0.25">
      <c r="A103" s="29"/>
      <c r="B103" s="11" t="str">
        <f>CONCATENATE("          ", "6292", " - ", "TRAVEL/CONFERENCE")</f>
        <v xml:space="preserve">          6292 - TRAVEL/CONFERENCE</v>
      </c>
      <c r="C103" s="11"/>
      <c r="D103" s="6"/>
      <c r="E103" s="2"/>
      <c r="F103" s="7">
        <f t="shared" si="61"/>
        <v>0</v>
      </c>
      <c r="G103" s="2"/>
      <c r="H103" s="6"/>
      <c r="I103" s="2"/>
      <c r="J103" s="7">
        <f t="shared" si="62"/>
        <v>0</v>
      </c>
      <c r="K103" s="2"/>
      <c r="L103" s="6">
        <f t="shared" si="63"/>
        <v>0</v>
      </c>
      <c r="M103" s="2"/>
      <c r="N103" s="7">
        <f t="shared" si="64"/>
        <v>0</v>
      </c>
      <c r="O103" s="11"/>
      <c r="P103" s="6"/>
      <c r="Q103" s="2"/>
      <c r="R103" s="7">
        <f t="shared" si="65"/>
        <v>0</v>
      </c>
      <c r="S103" s="2"/>
      <c r="T103" s="6">
        <v>0.16</v>
      </c>
      <c r="U103" s="2"/>
      <c r="V103" s="7">
        <f t="shared" si="66"/>
        <v>1.4874511462940002E-7</v>
      </c>
      <c r="W103" s="2"/>
      <c r="X103" s="6">
        <f t="shared" si="67"/>
        <v>-0.16</v>
      </c>
      <c r="Y103" s="2"/>
      <c r="Z103" s="7">
        <f t="shared" si="68"/>
        <v>-1</v>
      </c>
    </row>
    <row r="104" spans="1:26" s="56" customFormat="1" x14ac:dyDescent="0.25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5" t="s">
        <v>292</v>
      </c>
      <c r="C105" s="10"/>
      <c r="D105" s="4">
        <f>SUM(OSRRefD25x_0)</f>
        <v>1715.4099999999999</v>
      </c>
      <c r="E105" s="4"/>
      <c r="F105" s="12">
        <f t="shared" ref="F105:F108" si="69">IF(D$12=0,0,D105/D$12)</f>
        <v>4.9379279534201306E-2</v>
      </c>
      <c r="G105" s="4"/>
      <c r="H105" s="4">
        <f>SUM(OSRRefH25x_0)</f>
        <v>267.40999999999997</v>
      </c>
      <c r="I105" s="4"/>
      <c r="J105" s="12">
        <f t="shared" ref="J105:J108" si="70">IF(H$12=0,0,H105/H$12)</f>
        <v>8.3895491585979625E-3</v>
      </c>
      <c r="K105" s="4"/>
      <c r="L105" s="4">
        <f t="shared" ref="L105:L108" si="71">+D105-H105</f>
        <v>1448</v>
      </c>
      <c r="M105" s="4"/>
      <c r="N105" s="12">
        <f t="shared" ref="N105:N108" si="72">IF(H105=0,0,L105/H105)</f>
        <v>5.4149059496653082</v>
      </c>
      <c r="O105" s="10"/>
      <c r="P105" s="4">
        <f>SUM(OSRRefP25x_0)</f>
        <v>189671.88999999998</v>
      </c>
      <c r="Q105" s="4"/>
      <c r="R105" s="12">
        <f t="shared" ref="R105:R108" si="73">IF(P$12=0,0,P105/P$12)</f>
        <v>0.18814562260611956</v>
      </c>
      <c r="S105" s="4"/>
      <c r="T105" s="4">
        <f>SUM(OSRRefT25x_0)</f>
        <v>161168.19</v>
      </c>
      <c r="U105" s="4"/>
      <c r="V105" s="12">
        <f t="shared" ref="V105:V108" si="74">IF(T$12=0,0,T105/T$12)</f>
        <v>0.14983113060101827</v>
      </c>
      <c r="W105" s="4"/>
      <c r="X105" s="4">
        <f t="shared" ref="X105:X108" si="75">+P105-T105</f>
        <v>28503.699999999983</v>
      </c>
      <c r="Y105" s="4"/>
      <c r="Z105" s="12">
        <f t="shared" ref="Z105:Z108" si="76">IF(T105=0,0,X105/T105)</f>
        <v>0.176856859905171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--1458.11</f>
        <v>1458.11</v>
      </c>
      <c r="E106" s="2"/>
      <c r="F106" s="19">
        <f t="shared" si="69"/>
        <v>4.1972718639633824E-2</v>
      </c>
      <c r="G106" s="2"/>
      <c r="H106" s="2">
        <f>--5.33</f>
        <v>5.33</v>
      </c>
      <c r="I106" s="2"/>
      <c r="J106" s="19">
        <f t="shared" si="70"/>
        <v>1.6721998809067403E-4</v>
      </c>
      <c r="K106" s="2"/>
      <c r="L106" s="2">
        <f t="shared" si="71"/>
        <v>1452.78</v>
      </c>
      <c r="M106" s="2"/>
      <c r="N106" s="19">
        <f t="shared" si="72"/>
        <v>272.56660412757975</v>
      </c>
      <c r="O106" s="11"/>
      <c r="P106" s="2">
        <f>--19013.12</f>
        <v>19013.12</v>
      </c>
      <c r="Q106" s="2"/>
      <c r="R106" s="19">
        <f t="shared" si="73"/>
        <v>1.8860123659256326E-2</v>
      </c>
      <c r="S106" s="2"/>
      <c r="T106" s="2">
        <f>--11531.78</f>
        <v>11531.78</v>
      </c>
      <c r="U106" s="2"/>
      <c r="V106" s="19">
        <f t="shared" si="74"/>
        <v>1.0720599612381391E-2</v>
      </c>
      <c r="W106" s="2"/>
      <c r="X106" s="2">
        <f t="shared" si="75"/>
        <v>7481.3399999999983</v>
      </c>
      <c r="Y106" s="2"/>
      <c r="Z106" s="19">
        <f t="shared" si="76"/>
        <v>0.64875847440724654</v>
      </c>
    </row>
    <row r="107" spans="1:26" s="24" customFormat="1" hidden="1" outlineLevel="1" x14ac:dyDescent="0.25">
      <c r="A107" s="44"/>
      <c r="B107" s="11" t="str">
        <f>CONCATENATE("          ", "9151", " - ", "MISC. INCOME")</f>
        <v xml:space="preserve">          9151 - MISC. INCOME</v>
      </c>
      <c r="C107" s="11"/>
      <c r="D107" s="2">
        <f>0</f>
        <v>0</v>
      </c>
      <c r="E107" s="2"/>
      <c r="F107" s="19">
        <f t="shared" si="69"/>
        <v>0</v>
      </c>
      <c r="G107" s="2"/>
      <c r="H107" s="2">
        <f>0</f>
        <v>0</v>
      </c>
      <c r="I107" s="2"/>
      <c r="J107" s="19">
        <f t="shared" si="70"/>
        <v>0</v>
      </c>
      <c r="K107" s="2"/>
      <c r="L107" s="2">
        <f t="shared" si="71"/>
        <v>0</v>
      </c>
      <c r="M107" s="2"/>
      <c r="N107" s="19">
        <f t="shared" si="72"/>
        <v>0</v>
      </c>
      <c r="O107" s="11"/>
      <c r="P107" s="2">
        <f>--168463.36</f>
        <v>168463.35999999999</v>
      </c>
      <c r="Q107" s="2"/>
      <c r="R107" s="19">
        <f t="shared" si="73"/>
        <v>0.16710775515295836</v>
      </c>
      <c r="S107" s="2"/>
      <c r="T107" s="2">
        <f>--147285.39</f>
        <v>147285.39000000001</v>
      </c>
      <c r="U107" s="2"/>
      <c r="V107" s="19">
        <f t="shared" si="74"/>
        <v>0.1369248888674118</v>
      </c>
      <c r="W107" s="2"/>
      <c r="X107" s="2">
        <f t="shared" si="75"/>
        <v>21177.969999999972</v>
      </c>
      <c r="Y107" s="2"/>
      <c r="Z107" s="19">
        <f t="shared" si="76"/>
        <v>0.14378866770152809</v>
      </c>
    </row>
    <row r="108" spans="1:26" s="24" customFormat="1" hidden="1" outlineLevel="1" x14ac:dyDescent="0.25">
      <c r="A108" s="44"/>
      <c r="B108" s="11" t="str">
        <f>CONCATENATE("          ", "9152", " - ", "MISC. INCOME")</f>
        <v xml:space="preserve">          9152 - MISC. INCOME</v>
      </c>
      <c r="C108" s="11"/>
      <c r="D108" s="2">
        <f>--257.3</f>
        <v>257.3</v>
      </c>
      <c r="E108" s="2"/>
      <c r="F108" s="19">
        <f t="shared" si="69"/>
        <v>7.4065608945674778E-3</v>
      </c>
      <c r="G108" s="2"/>
      <c r="H108" s="2">
        <f>--262.08</f>
        <v>262.08</v>
      </c>
      <c r="I108" s="2"/>
      <c r="J108" s="19">
        <f t="shared" si="70"/>
        <v>8.2223291705072893E-3</v>
      </c>
      <c r="K108" s="2"/>
      <c r="L108" s="2">
        <f t="shared" si="71"/>
        <v>-4.7799999999999727</v>
      </c>
      <c r="M108" s="2"/>
      <c r="N108" s="19">
        <f t="shared" si="72"/>
        <v>-1.8238705738705636E-2</v>
      </c>
      <c r="O108" s="11"/>
      <c r="P108" s="2">
        <f>--2195.41</f>
        <v>2195.41</v>
      </c>
      <c r="Q108" s="2"/>
      <c r="R108" s="19">
        <f t="shared" si="73"/>
        <v>2.177743793904837E-3</v>
      </c>
      <c r="S108" s="2"/>
      <c r="T108" s="2">
        <f>--2351.02</f>
        <v>2351.02</v>
      </c>
      <c r="U108" s="2"/>
      <c r="V108" s="19">
        <f t="shared" si="74"/>
        <v>2.1856421212250753E-3</v>
      </c>
      <c r="W108" s="2"/>
      <c r="X108" s="2">
        <f t="shared" si="75"/>
        <v>-155.61000000000013</v>
      </c>
      <c r="Y108" s="2"/>
      <c r="Z108" s="19">
        <f t="shared" si="76"/>
        <v>-6.61882927410231E-2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6" t="s">
        <v>276</v>
      </c>
      <c r="C110" s="26"/>
      <c r="D110" s="22">
        <f>+D55-D57+D105</f>
        <v>-32876.240000000005</v>
      </c>
      <c r="E110" s="13"/>
      <c r="F110" s="20">
        <f>IF(D$12=0,0,D110/D$12)</f>
        <v>-0.94636561812831377</v>
      </c>
      <c r="G110" s="13"/>
      <c r="H110" s="22">
        <f>+H55-H57+H105</f>
        <v>-34106.719999999972</v>
      </c>
      <c r="I110" s="13"/>
      <c r="J110" s="20">
        <f>IF(H$12=0,0,H110/H$12)</f>
        <v>-1.070042272460028</v>
      </c>
      <c r="K110" s="15"/>
      <c r="L110" s="22">
        <f>+D110-H110</f>
        <v>1230.4799999999668</v>
      </c>
      <c r="M110" s="15"/>
      <c r="N110" s="20">
        <f>IF(H110=0,0,L110/H110)</f>
        <v>-3.6077347807117417E-2</v>
      </c>
      <c r="O110" s="25"/>
      <c r="P110" s="22">
        <f>+P55-P57+P105</f>
        <v>162018.83999999991</v>
      </c>
      <c r="Q110" s="13"/>
      <c r="R110" s="20">
        <f>IF(P$12=0,0,P110/P$12)</f>
        <v>0.16071509344753854</v>
      </c>
      <c r="S110" s="13"/>
      <c r="T110" s="22">
        <f>+T55-T57+T105</f>
        <v>304185.44999999972</v>
      </c>
      <c r="U110" s="13"/>
      <c r="V110" s="20">
        <f>IF(T$12=0,0,T110/T$12)</f>
        <v>0.28278812268028491</v>
      </c>
      <c r="W110" s="15"/>
      <c r="X110" s="22">
        <f>+P110-T110</f>
        <v>-142166.60999999981</v>
      </c>
      <c r="Y110" s="15"/>
      <c r="Z110" s="20">
        <f>IF(T110=0,0,X110/T110)</f>
        <v>-0.46736821238491172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127</v>
      </c>
      <c r="C112" s="10"/>
      <c r="D112" s="4">
        <v>-3950.37</v>
      </c>
      <c r="E112" s="4"/>
      <c r="F112" s="12">
        <f>IF(D$12=0,0,D112/D$12)</f>
        <v>-0.11371417007801214</v>
      </c>
      <c r="G112" s="4"/>
      <c r="H112" s="4">
        <v>39644.76</v>
      </c>
      <c r="I112" s="4"/>
      <c r="J112" s="12">
        <f>IF(H$12=0,0,H112/H$12)</f>
        <v>1.2437891735567788</v>
      </c>
      <c r="K112" s="4"/>
      <c r="L112" s="4">
        <f>+D112-H112</f>
        <v>-43595.130000000005</v>
      </c>
      <c r="M112" s="4"/>
      <c r="N112" s="12">
        <f>IF(H112=0,0,L112/H112)</f>
        <v>-1.0996441900518505</v>
      </c>
      <c r="O112" s="10"/>
      <c r="P112" s="4">
        <v>116529.44</v>
      </c>
      <c r="Q112" s="4"/>
      <c r="R112" s="12">
        <f>IF(P$12=0,0,P112/P$12)</f>
        <v>0.11559174129989665</v>
      </c>
      <c r="S112" s="4"/>
      <c r="T112" s="4">
        <v>233012.33</v>
      </c>
      <c r="U112" s="4"/>
      <c r="V112" s="12">
        <f>IF(T$12=0,0,T112/T$12)</f>
        <v>0.2166215358494599</v>
      </c>
      <c r="W112" s="4"/>
      <c r="X112" s="4">
        <f>+P112-T112</f>
        <v>-116482.88999999998</v>
      </c>
      <c r="Y112" s="4"/>
      <c r="Z112" s="12">
        <f>IF(T112=0,0,X112/T112)</f>
        <v>-0.4999001125820251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125</v>
      </c>
      <c r="C114" s="26"/>
      <c r="D114" s="33">
        <f>+D110-D112</f>
        <v>-28925.870000000006</v>
      </c>
      <c r="E114" s="13"/>
      <c r="F114" s="31">
        <f>IF(D$12=0,0,D114/D$12)</f>
        <v>-0.83265144805030156</v>
      </c>
      <c r="G114" s="13"/>
      <c r="H114" s="33">
        <f>+H110-H112</f>
        <v>-73751.479999999981</v>
      </c>
      <c r="I114" s="13"/>
      <c r="J114" s="31">
        <f>IF(H$12=0,0,H114/H$12)</f>
        <v>-2.313831446016807</v>
      </c>
      <c r="K114" s="15"/>
      <c r="L114" s="33">
        <f>D114-H114</f>
        <v>44825.609999999971</v>
      </c>
      <c r="M114" s="15"/>
      <c r="N114" s="31">
        <f>IF(H114=0,0,L114/H114)</f>
        <v>-0.60779268429596234</v>
      </c>
      <c r="O114" s="25"/>
      <c r="P114" s="33">
        <f>+P110-P112</f>
        <v>45489.399999999907</v>
      </c>
      <c r="Q114" s="13"/>
      <c r="R114" s="31">
        <f>IF(P$12=0,0,P114/P$12)</f>
        <v>4.5123352147641897E-2</v>
      </c>
      <c r="S114" s="13"/>
      <c r="T114" s="33">
        <f>+T110-T112</f>
        <v>71173.119999999733</v>
      </c>
      <c r="U114" s="13"/>
      <c r="V114" s="31">
        <f>IF(T$12=0,0,T114/T$12)</f>
        <v>6.6166586830825019E-2</v>
      </c>
      <c r="W114" s="15"/>
      <c r="X114" s="33">
        <f>P114-T114</f>
        <v>-25683.719999999827</v>
      </c>
      <c r="Y114" s="15"/>
      <c r="Z114" s="31">
        <f>IF(T114=0,0,X114/T114)</f>
        <v>-0.36086264027767678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6" t="s">
        <v>293</v>
      </c>
      <c r="C117" s="26"/>
      <c r="D117" s="34">
        <f>SUM(D114:D116)</f>
        <v>-28925.870000000006</v>
      </c>
      <c r="E117" s="13"/>
      <c r="F117" s="30">
        <f>IF(D$12=0,0,D117/D$12)</f>
        <v>-0.83265144805030156</v>
      </c>
      <c r="G117" s="13"/>
      <c r="H117" s="34">
        <f>SUM(H114:H116)</f>
        <v>-73751.479999999981</v>
      </c>
      <c r="I117" s="13"/>
      <c r="J117" s="30">
        <f>IF(H$12=0,0,H117/H$12)</f>
        <v>-2.313831446016807</v>
      </c>
      <c r="K117" s="15"/>
      <c r="L117" s="34">
        <f>+D117-H117</f>
        <v>44825.609999999971</v>
      </c>
      <c r="M117" s="15"/>
      <c r="N117" s="30">
        <f>IF(H117=0,0,L117/H117)</f>
        <v>-0.60779268429596234</v>
      </c>
      <c r="O117" s="25"/>
      <c r="P117" s="34">
        <f>SUM(P114:P116)</f>
        <v>45489.399999999907</v>
      </c>
      <c r="Q117" s="13"/>
      <c r="R117" s="30">
        <f>IF(P$12=0,0,P117/P$12)</f>
        <v>4.5123352147641897E-2</v>
      </c>
      <c r="S117" s="13"/>
      <c r="T117" s="34">
        <f>SUM(T114:T116)</f>
        <v>71173.119999999733</v>
      </c>
      <c r="U117" s="13"/>
      <c r="V117" s="30">
        <f>IF(T$12=0,0,T117/T$12)</f>
        <v>6.6166586830825019E-2</v>
      </c>
      <c r="W117" s="15"/>
      <c r="X117" s="34">
        <f>+P117-T117</f>
        <v>-25683.719999999827</v>
      </c>
      <c r="Y117" s="15"/>
      <c r="Z117" s="30">
        <f>IF(T117=0,0,X117/T117)</f>
        <v>-0.36086264027767678</v>
      </c>
    </row>
    <row r="118" spans="1:26" ht="15.75" thickTop="1" x14ac:dyDescent="0.25">
      <c r="A118" s="9"/>
      <c r="C118" s="9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1">
        <v>44517.967041516204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7" t="s">
        <v>56</v>
      </c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8"/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2878.13</v>
      </c>
      <c r="E12" s="4"/>
      <c r="F12" s="12"/>
      <c r="G12" s="4"/>
      <c r="H12" s="4">
        <f>SUM(OSRRefH13x_0)</f>
        <v>2309.06</v>
      </c>
      <c r="I12" s="4"/>
      <c r="J12" s="12"/>
      <c r="K12" s="4"/>
      <c r="L12" s="4">
        <f t="shared" ref="L12:L16" si="0">+D12-H12</f>
        <v>569.07000000000016</v>
      </c>
      <c r="M12" s="4"/>
      <c r="N12" s="12">
        <f t="shared" ref="N12:N16" si="1">IF(H12=0,0,L12/H12)</f>
        <v>0.24645093674482266</v>
      </c>
      <c r="O12" s="10"/>
      <c r="P12" s="4">
        <f>SUM(OSRRefP13x_0)</f>
        <v>335647.54000000004</v>
      </c>
      <c r="Q12" s="4"/>
      <c r="R12" s="12"/>
      <c r="S12" s="4"/>
      <c r="T12" s="4">
        <f>SUM(OSRRefT13x_0)</f>
        <v>470040.45</v>
      </c>
      <c r="U12" s="4"/>
      <c r="V12" s="12"/>
      <c r="W12" s="4"/>
      <c r="X12" s="4">
        <f t="shared" ref="X12:X16" si="2">+P12-T12</f>
        <v>-134392.90999999997</v>
      </c>
      <c r="Y12" s="4"/>
      <c r="Z12" s="12">
        <f t="shared" ref="Z12:Z16" si="3">IF(T12=0,0,X12/T12)</f>
        <v>-0.28591775452516899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--1977.76</f>
        <v>1977.76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1977.76</v>
      </c>
      <c r="M13" s="2"/>
      <c r="N13" s="19">
        <f t="shared" si="1"/>
        <v>0</v>
      </c>
      <c r="O13" s="11"/>
      <c r="P13" s="2">
        <f>--211058.66</f>
        <v>211058.66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211058.66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15" si="4">0</f>
        <v>0</v>
      </c>
      <c r="E14" s="2"/>
      <c r="F14" s="19"/>
      <c r="G14" s="2"/>
      <c r="H14" s="2">
        <f>--1274.3</f>
        <v>1274.3</v>
      </c>
      <c r="I14" s="2"/>
      <c r="J14" s="19"/>
      <c r="K14" s="2"/>
      <c r="L14" s="2">
        <f t="shared" si="0"/>
        <v>-1274.3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--172228.96</f>
        <v>172228.96</v>
      </c>
      <c r="U14" s="2"/>
      <c r="V14" s="19"/>
      <c r="W14" s="2"/>
      <c r="X14" s="2">
        <f t="shared" si="2"/>
        <v>-172228.96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--898.97</f>
        <v>898.97</v>
      </c>
      <c r="I15" s="2"/>
      <c r="J15" s="19"/>
      <c r="K15" s="2"/>
      <c r="L15" s="2">
        <f t="shared" si="0"/>
        <v>-898.97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--133331.68</f>
        <v>133331.68</v>
      </c>
      <c r="U15" s="2"/>
      <c r="V15" s="19"/>
      <c r="W15" s="2"/>
      <c r="X15" s="2">
        <f t="shared" si="2"/>
        <v>-133331.68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--900.37</f>
        <v>900.37</v>
      </c>
      <c r="E16" s="2"/>
      <c r="F16" s="19"/>
      <c r="G16" s="2"/>
      <c r="H16" s="2">
        <f>--135.79</f>
        <v>135.79</v>
      </c>
      <c r="I16" s="2"/>
      <c r="J16" s="19"/>
      <c r="K16" s="2"/>
      <c r="L16" s="2">
        <f t="shared" si="0"/>
        <v>764.58</v>
      </c>
      <c r="M16" s="2"/>
      <c r="N16" s="19">
        <f t="shared" si="1"/>
        <v>5.63060608292216</v>
      </c>
      <c r="O16" s="11"/>
      <c r="P16" s="2">
        <f>--124588.88</f>
        <v>124588.88</v>
      </c>
      <c r="Q16" s="2"/>
      <c r="R16" s="19"/>
      <c r="S16" s="2"/>
      <c r="T16" s="2">
        <f>--164479.81</f>
        <v>164479.81</v>
      </c>
      <c r="U16" s="2"/>
      <c r="V16" s="19"/>
      <c r="W16" s="2"/>
      <c r="X16" s="2">
        <f t="shared" si="2"/>
        <v>-39890.929999999993</v>
      </c>
      <c r="Y16" s="2"/>
      <c r="Z16" s="19">
        <f t="shared" si="3"/>
        <v>-0.24252782149979377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256</v>
      </c>
      <c r="C18" s="10"/>
      <c r="D18" s="4">
        <f>SUM(OSRRefD16x_0)</f>
        <v>2444.34</v>
      </c>
      <c r="E18" s="4"/>
      <c r="F18" s="12">
        <f t="shared" ref="F18:F21" si="6">IF(D$12=0,0,D18/D$12)</f>
        <v>0.84928060928450066</v>
      </c>
      <c r="G18" s="4"/>
      <c r="H18" s="4">
        <f>SUM(OSRRefH16x_0)</f>
        <v>1259.5</v>
      </c>
      <c r="I18" s="4"/>
      <c r="J18" s="12">
        <f t="shared" ref="J18:J21" si="7">IF(H$12=0,0,H18/H$12)</f>
        <v>0.54546005733935021</v>
      </c>
      <c r="K18" s="4"/>
      <c r="L18" s="4">
        <f t="shared" ref="L18:L21" si="8">+D18-H18</f>
        <v>1184.8400000000001</v>
      </c>
      <c r="M18" s="4"/>
      <c r="N18" s="12">
        <f t="shared" ref="N18:N21" si="9">IF(H18=0,0,L18/H18)</f>
        <v>0.94072250893211606</v>
      </c>
      <c r="O18" s="10"/>
      <c r="P18" s="4">
        <f>SUM(OSRRefP16x_0)</f>
        <v>253418.09</v>
      </c>
      <c r="Q18" s="4"/>
      <c r="R18" s="12">
        <f t="shared" ref="R18:R21" si="10">IF(P$12=0,0,P18/P$12)</f>
        <v>0.75501250508196771</v>
      </c>
      <c r="S18" s="4"/>
      <c r="T18" s="4">
        <f>SUM(OSRRefT16x_0)</f>
        <v>343786.33999999997</v>
      </c>
      <c r="U18" s="4"/>
      <c r="V18" s="12">
        <f t="shared" ref="V18:V21" si="11">IF(T$12=0,0,T18/T$12)</f>
        <v>0.73139735101521575</v>
      </c>
      <c r="W18" s="4"/>
      <c r="X18" s="4">
        <f t="shared" ref="X18:X21" si="12">+P18-T18</f>
        <v>-90368.249999999971</v>
      </c>
      <c r="Y18" s="4"/>
      <c r="Z18" s="12">
        <f t="shared" ref="Z18:Z21" si="13">IF(T18=0,0,X18/T18)</f>
        <v>-0.26286166576601033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2444.34</v>
      </c>
      <c r="E19" s="2"/>
      <c r="F19" s="19">
        <f t="shared" si="6"/>
        <v>0.84928060928450066</v>
      </c>
      <c r="G19" s="2"/>
      <c r="H19" s="2"/>
      <c r="I19" s="2"/>
      <c r="J19" s="19">
        <f t="shared" si="7"/>
        <v>0</v>
      </c>
      <c r="K19" s="2"/>
      <c r="L19" s="2">
        <f t="shared" si="8"/>
        <v>2444.34</v>
      </c>
      <c r="M19" s="2"/>
      <c r="N19" s="19">
        <f t="shared" si="9"/>
        <v>0</v>
      </c>
      <c r="O19" s="11"/>
      <c r="P19" s="2">
        <v>253418.09</v>
      </c>
      <c r="Q19" s="2"/>
      <c r="R19" s="19">
        <f t="shared" si="10"/>
        <v>0.75501250508196771</v>
      </c>
      <c r="S19" s="2"/>
      <c r="T19" s="2"/>
      <c r="U19" s="2"/>
      <c r="V19" s="19">
        <f t="shared" si="11"/>
        <v>0</v>
      </c>
      <c r="W19" s="2"/>
      <c r="X19" s="2">
        <f t="shared" si="12"/>
        <v>253418.09</v>
      </c>
      <c r="Y19" s="2"/>
      <c r="Z19" s="19">
        <f t="shared" si="13"/>
        <v>0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6"/>
        <v>0</v>
      </c>
      <c r="G20" s="2"/>
      <c r="H20" s="2">
        <v>1259.5</v>
      </c>
      <c r="I20" s="2"/>
      <c r="J20" s="19">
        <f t="shared" si="7"/>
        <v>0.54546005733935021</v>
      </c>
      <c r="K20" s="2"/>
      <c r="L20" s="2">
        <f t="shared" si="8"/>
        <v>-1259.5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204451.86</v>
      </c>
      <c r="U20" s="2"/>
      <c r="V20" s="19">
        <f t="shared" si="11"/>
        <v>0.43496652256204754</v>
      </c>
      <c r="W20" s="2"/>
      <c r="X20" s="2">
        <f t="shared" si="12"/>
        <v>-204451.86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/>
      <c r="Q21" s="2"/>
      <c r="R21" s="19">
        <f t="shared" si="10"/>
        <v>0</v>
      </c>
      <c r="S21" s="2"/>
      <c r="T21" s="2">
        <v>139334.48000000001</v>
      </c>
      <c r="U21" s="2"/>
      <c r="V21" s="19">
        <f t="shared" si="11"/>
        <v>0.29643082845316826</v>
      </c>
      <c r="W21" s="2"/>
      <c r="X21" s="2">
        <f t="shared" si="12"/>
        <v>-139334.48000000001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107</v>
      </c>
      <c r="C23" s="26"/>
      <c r="D23" s="22">
        <f>D12-D18</f>
        <v>433.78999999999996</v>
      </c>
      <c r="E23" s="13"/>
      <c r="F23" s="20">
        <f>IF(D$12=0,0,D23/D$12)</f>
        <v>0.15071939071549928</v>
      </c>
      <c r="G23" s="13"/>
      <c r="H23" s="22">
        <f>H12-H18</f>
        <v>1049.56</v>
      </c>
      <c r="I23" s="13"/>
      <c r="J23" s="20">
        <f>IF(H$12=0,0,H23/H$12)</f>
        <v>0.45453994266064979</v>
      </c>
      <c r="K23" s="15"/>
      <c r="L23" s="22">
        <f>+D23-H23</f>
        <v>-615.77</v>
      </c>
      <c r="M23" s="15"/>
      <c r="N23" s="20">
        <f>IF(H23=0,0,L23/H23)</f>
        <v>-0.58669347154998286</v>
      </c>
      <c r="O23" s="25"/>
      <c r="P23" s="22">
        <f>P12-P18</f>
        <v>82229.450000000041</v>
      </c>
      <c r="Q23" s="13"/>
      <c r="R23" s="20">
        <f>IF(P$12=0,0,P23/P$12)</f>
        <v>0.24498749491803226</v>
      </c>
      <c r="S23" s="13"/>
      <c r="T23" s="22">
        <f>T12-T18</f>
        <v>126254.11000000004</v>
      </c>
      <c r="U23" s="13"/>
      <c r="V23" s="20">
        <f>IF(T$12=0,0,T23/T$12)</f>
        <v>0.26860264898478425</v>
      </c>
      <c r="W23" s="15"/>
      <c r="X23" s="22">
        <f>+P23-T23</f>
        <v>-44024.66</v>
      </c>
      <c r="Y23" s="15"/>
      <c r="Z23" s="20">
        <f>IF(T23=0,0,X23/T23)</f>
        <v>-0.34869882651740991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294</v>
      </c>
      <c r="C25" s="10"/>
      <c r="D25" s="21">
        <f>SUM(0)</f>
        <v>0</v>
      </c>
      <c r="E25" s="21"/>
      <c r="F25" s="36">
        <f>IF(D$12=0,0,D25/D$12)</f>
        <v>0</v>
      </c>
      <c r="G25" s="21"/>
      <c r="H25" s="21">
        <f>SUM(0)</f>
        <v>0</v>
      </c>
      <c r="I25" s="21"/>
      <c r="J25" s="36">
        <f>IF(H$12=0,0,H25/H$12)</f>
        <v>0</v>
      </c>
      <c r="K25" s="4"/>
      <c r="L25" s="21">
        <f>+D25-H25</f>
        <v>0</v>
      </c>
      <c r="M25" s="4"/>
      <c r="N25" s="36">
        <f>IF(H25=0,0,L25/H25)</f>
        <v>0</v>
      </c>
      <c r="O25" s="10"/>
      <c r="P25" s="21">
        <f>SUM(0)</f>
        <v>0</v>
      </c>
      <c r="Q25" s="21"/>
      <c r="R25" s="36">
        <f>IF(P$12=0,0,P25/P$12)</f>
        <v>0</v>
      </c>
      <c r="S25" s="21"/>
      <c r="T25" s="21">
        <f>SUM(0)</f>
        <v>0</v>
      </c>
      <c r="U25" s="21"/>
      <c r="V25" s="36">
        <f>IF(T$12=0,0,T25/T$12)</f>
        <v>0</v>
      </c>
      <c r="W25" s="4"/>
      <c r="X25" s="21">
        <f>+P25-T25</f>
        <v>0</v>
      </c>
      <c r="Y25" s="4"/>
      <c r="Z25" s="36">
        <f>IF(T25=0,0,X25/T25)</f>
        <v>0</v>
      </c>
    </row>
    <row r="26" spans="1:26" s="56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292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6" t="s">
        <v>276</v>
      </c>
      <c r="C29" s="26"/>
      <c r="D29" s="22">
        <f>+D23-D25+D27</f>
        <v>433.78999999999996</v>
      </c>
      <c r="E29" s="13"/>
      <c r="F29" s="20">
        <f>IF(D$12=0,0,D29/D$12)</f>
        <v>0.15071939071549928</v>
      </c>
      <c r="G29" s="13"/>
      <c r="H29" s="22">
        <f>+H23-H25+H27</f>
        <v>1049.56</v>
      </c>
      <c r="I29" s="13"/>
      <c r="J29" s="20">
        <f>IF(H$12=0,0,H29/H$12)</f>
        <v>0.45453994266064979</v>
      </c>
      <c r="K29" s="15"/>
      <c r="L29" s="22">
        <f>+D29-H29</f>
        <v>-615.77</v>
      </c>
      <c r="M29" s="15"/>
      <c r="N29" s="20">
        <f>IF(H29=0,0,L29/H29)</f>
        <v>-0.58669347154998286</v>
      </c>
      <c r="O29" s="25"/>
      <c r="P29" s="22">
        <f>+P23-P25+P27</f>
        <v>82229.450000000041</v>
      </c>
      <c r="Q29" s="13"/>
      <c r="R29" s="20">
        <f>IF(P$12=0,0,P29/P$12)</f>
        <v>0.24498749491803226</v>
      </c>
      <c r="S29" s="13"/>
      <c r="T29" s="22">
        <f>+T23-T25+T27</f>
        <v>126254.11000000004</v>
      </c>
      <c r="U29" s="13"/>
      <c r="V29" s="20">
        <f>IF(T$12=0,0,T29/T$12)</f>
        <v>0.26860264898478425</v>
      </c>
      <c r="W29" s="15"/>
      <c r="X29" s="22">
        <f>+P29-T29</f>
        <v>-44024.66</v>
      </c>
      <c r="Y29" s="15"/>
      <c r="Z29" s="20">
        <f>IF(T29=0,0,X29/T29)</f>
        <v>-0.34869882651740991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127</v>
      </c>
      <c r="C31" s="10"/>
      <c r="D31" s="4">
        <v>-2390.66</v>
      </c>
      <c r="E31" s="4"/>
      <c r="F31" s="12">
        <f>IF(D$12=0,0,D31/D$12)</f>
        <v>-0.8306296101982884</v>
      </c>
      <c r="G31" s="4"/>
      <c r="H31" s="4">
        <v>15171.31</v>
      </c>
      <c r="I31" s="4"/>
      <c r="J31" s="12">
        <f>IF(H$12=0,0,H31/H$12)</f>
        <v>6.5703403116419672</v>
      </c>
      <c r="K31" s="4"/>
      <c r="L31" s="4">
        <f>+D31-H31</f>
        <v>-17561.97</v>
      </c>
      <c r="M31" s="4"/>
      <c r="N31" s="12">
        <f>IF(H31=0,0,L31/H31)</f>
        <v>-1.1575776910497513</v>
      </c>
      <c r="O31" s="10"/>
      <c r="P31" s="4">
        <v>38798.080000000002</v>
      </c>
      <c r="Q31" s="4"/>
      <c r="R31" s="12">
        <f>IF(P$12=0,0,P31/P$12)</f>
        <v>0.11559173053972031</v>
      </c>
      <c r="S31" s="4"/>
      <c r="T31" s="4">
        <v>101820.88</v>
      </c>
      <c r="U31" s="4"/>
      <c r="V31" s="12">
        <f>IF(T$12=0,0,T31/T$12)</f>
        <v>0.21662152693454362</v>
      </c>
      <c r="W31" s="4"/>
      <c r="X31" s="4">
        <f>+P31-T31</f>
        <v>-63022.8</v>
      </c>
      <c r="Y31" s="4"/>
      <c r="Z31" s="12">
        <f>IF(T31=0,0,X31/T31)</f>
        <v>-0.6189575261969843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125</v>
      </c>
      <c r="C33" s="26"/>
      <c r="D33" s="33">
        <f>+D29-D31</f>
        <v>2824.45</v>
      </c>
      <c r="E33" s="13"/>
      <c r="F33" s="31">
        <f>IF(D$12=0,0,D33/D$12)</f>
        <v>0.98134900091378763</v>
      </c>
      <c r="G33" s="13"/>
      <c r="H33" s="33">
        <f>+H29-H31</f>
        <v>-14121.75</v>
      </c>
      <c r="I33" s="13"/>
      <c r="J33" s="31">
        <f>IF(H$12=0,0,H33/H$12)</f>
        <v>-6.1158003689813176</v>
      </c>
      <c r="K33" s="15"/>
      <c r="L33" s="33">
        <f>D33-H33</f>
        <v>16946.2</v>
      </c>
      <c r="M33" s="15"/>
      <c r="N33" s="31">
        <f>IF(H33=0,0,L33/H33)</f>
        <v>-1.2000070812753378</v>
      </c>
      <c r="O33" s="25"/>
      <c r="P33" s="33">
        <f>+P29-P31</f>
        <v>43431.370000000039</v>
      </c>
      <c r="Q33" s="13"/>
      <c r="R33" s="31">
        <f>IF(P$12=0,0,P33/P$12)</f>
        <v>0.12939576437831193</v>
      </c>
      <c r="S33" s="13"/>
      <c r="T33" s="33">
        <f>+T29-T31</f>
        <v>24433.23000000004</v>
      </c>
      <c r="U33" s="13"/>
      <c r="V33" s="31">
        <f>IF(T$12=0,0,T33/T$12)</f>
        <v>5.198112205024065E-2</v>
      </c>
      <c r="W33" s="15"/>
      <c r="X33" s="33">
        <f>P33-T33</f>
        <v>18998.14</v>
      </c>
      <c r="Y33" s="15"/>
      <c r="Z33" s="31">
        <f>IF(T33=0,0,X33/T33)</f>
        <v>0.77755335663765979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>
        <f>SUM(D33:D35)</f>
        <v>2824.45</v>
      </c>
      <c r="E36" s="13"/>
      <c r="F36" s="30">
        <f>IF(D$12=0,0,D36/D$12)</f>
        <v>0.98134900091378763</v>
      </c>
      <c r="G36" s="13"/>
      <c r="H36" s="34">
        <f>SUM(H33:H35)</f>
        <v>-14121.75</v>
      </c>
      <c r="I36" s="13"/>
      <c r="J36" s="30">
        <f>IF(H$12=0,0,H36/H$12)</f>
        <v>-6.1158003689813176</v>
      </c>
      <c r="K36" s="15"/>
      <c r="L36" s="34">
        <f>+D36-H36</f>
        <v>16946.2</v>
      </c>
      <c r="M36" s="15"/>
      <c r="N36" s="30">
        <f>IF(H36=0,0,L36/H36)</f>
        <v>-1.2000070812753378</v>
      </c>
      <c r="O36" s="25"/>
      <c r="P36" s="34">
        <f>SUM(P33:P35)</f>
        <v>43431.370000000039</v>
      </c>
      <c r="Q36" s="13"/>
      <c r="R36" s="30">
        <f>IF(P$12=0,0,P36/P$12)</f>
        <v>0.12939576437831193</v>
      </c>
      <c r="S36" s="13"/>
      <c r="T36" s="34">
        <f>SUM(T33:T35)</f>
        <v>24433.23000000004</v>
      </c>
      <c r="U36" s="13"/>
      <c r="V36" s="30">
        <f>IF(T$12=0,0,T36/T$12)</f>
        <v>5.198112205024065E-2</v>
      </c>
      <c r="W36" s="15"/>
      <c r="X36" s="34">
        <f>+P36-T36</f>
        <v>18998.14</v>
      </c>
      <c r="Y36" s="15"/>
      <c r="Z36" s="30">
        <f>IF(T36=0,0,X36/T36)</f>
        <v>0.77755335663765979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>
        <v>44517.967041516204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s">
        <v>56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478030.84</v>
      </c>
      <c r="E12" s="4"/>
      <c r="F12" s="12"/>
      <c r="G12" s="4"/>
      <c r="H12" s="4">
        <f>SUM(OSRRefH13x_0)</f>
        <v>115409.98000000003</v>
      </c>
      <c r="I12" s="4"/>
      <c r="J12" s="12"/>
      <c r="K12" s="4"/>
      <c r="L12" s="4">
        <f t="shared" ref="L12:L52" si="0">+D12-H12</f>
        <v>362620.86</v>
      </c>
      <c r="M12" s="4"/>
      <c r="N12" s="12">
        <f t="shared" ref="N12:N52" si="1">IF(H12=0,0,L12/H12)</f>
        <v>3.1420234194651098</v>
      </c>
      <c r="O12" s="10"/>
      <c r="P12" s="4">
        <f>SUM(OSRRefP13x_0)</f>
        <v>1372446.16</v>
      </c>
      <c r="Q12" s="4"/>
      <c r="R12" s="12"/>
      <c r="S12" s="4"/>
      <c r="T12" s="4">
        <f>SUM(OSRRefT13x_0)</f>
        <v>715017.3</v>
      </c>
      <c r="U12" s="4"/>
      <c r="V12" s="12"/>
      <c r="W12" s="4"/>
      <c r="X12" s="4">
        <f t="shared" ref="X12:X52" si="2">+P12-T12</f>
        <v>657428.85999999987</v>
      </c>
      <c r="Y12" s="4"/>
      <c r="Z12" s="12">
        <f t="shared" ref="Z12:Z52" si="3">IF(T12=0,0,X12/T12)</f>
        <v>0.91945867603483133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--431595.01</f>
        <v>431595.01</v>
      </c>
      <c r="E13" s="2"/>
      <c r="F13" s="19"/>
      <c r="G13" s="2"/>
      <c r="H13" s="2">
        <f>-10002.87</f>
        <v>-10002.870000000001</v>
      </c>
      <c r="I13" s="2"/>
      <c r="J13" s="19"/>
      <c r="K13" s="2"/>
      <c r="L13" s="2">
        <f t="shared" si="0"/>
        <v>441597.88</v>
      </c>
      <c r="M13" s="2"/>
      <c r="N13" s="19">
        <f t="shared" si="1"/>
        <v>-44.147117777197941</v>
      </c>
      <c r="O13" s="11"/>
      <c r="P13" s="2">
        <f>--1266653.41</f>
        <v>1266653.4099999999</v>
      </c>
      <c r="Q13" s="2"/>
      <c r="R13" s="19"/>
      <c r="S13" s="2"/>
      <c r="T13" s="2">
        <f>-39984.41</f>
        <v>-39984.410000000003</v>
      </c>
      <c r="U13" s="2"/>
      <c r="V13" s="19"/>
      <c r="W13" s="2"/>
      <c r="X13" s="2">
        <f t="shared" si="2"/>
        <v>1306637.8199999998</v>
      </c>
      <c r="Y13" s="2"/>
      <c r="Z13" s="19">
        <f t="shared" si="3"/>
        <v>-32.678682016315854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--20.8</f>
        <v>20.8</v>
      </c>
      <c r="I14" s="2"/>
      <c r="J14" s="19"/>
      <c r="K14" s="2"/>
      <c r="L14" s="2">
        <f t="shared" si="0"/>
        <v>-20.8</v>
      </c>
      <c r="M14" s="2"/>
      <c r="N14" s="19">
        <f t="shared" si="1"/>
        <v>-1</v>
      </c>
      <c r="O14" s="11"/>
      <c r="P14" s="2">
        <f t="shared" ref="P14:P24" si="5">0</f>
        <v>0</v>
      </c>
      <c r="Q14" s="2"/>
      <c r="R14" s="19"/>
      <c r="S14" s="2"/>
      <c r="T14" s="2">
        <f>--261.32</f>
        <v>261.32</v>
      </c>
      <c r="U14" s="2"/>
      <c r="V14" s="19"/>
      <c r="W14" s="2"/>
      <c r="X14" s="2">
        <f t="shared" si="2"/>
        <v>-261.32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--2328.89</f>
        <v>2328.89</v>
      </c>
      <c r="I15" s="2"/>
      <c r="J15" s="19"/>
      <c r="K15" s="2"/>
      <c r="L15" s="2">
        <f t="shared" si="0"/>
        <v>-2328.89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--27013.18</f>
        <v>27013.18</v>
      </c>
      <c r="U15" s="2"/>
      <c r="V15" s="19"/>
      <c r="W15" s="2"/>
      <c r="X15" s="2">
        <f t="shared" si="2"/>
        <v>-27013.18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--1769.95</f>
        <v>1769.95</v>
      </c>
      <c r="I16" s="2"/>
      <c r="J16" s="19"/>
      <c r="K16" s="2"/>
      <c r="L16" s="2">
        <f t="shared" si="0"/>
        <v>-1769.95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--1789.8</f>
        <v>1789.8</v>
      </c>
      <c r="U16" s="2"/>
      <c r="V16" s="19"/>
      <c r="W16" s="2"/>
      <c r="X16" s="2">
        <f t="shared" si="2"/>
        <v>-1789.8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--424.62</f>
        <v>424.62</v>
      </c>
      <c r="I17" s="2"/>
      <c r="J17" s="19"/>
      <c r="K17" s="2"/>
      <c r="L17" s="2">
        <f t="shared" si="0"/>
        <v>-424.62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--1293.41</f>
        <v>1293.4100000000001</v>
      </c>
      <c r="U17" s="2"/>
      <c r="V17" s="19"/>
      <c r="W17" s="2"/>
      <c r="X17" s="2">
        <f t="shared" si="2"/>
        <v>-1293.4100000000001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--54384.72</f>
        <v>54384.72</v>
      </c>
      <c r="I19" s="2"/>
      <c r="J19" s="19"/>
      <c r="K19" s="2"/>
      <c r="L19" s="2">
        <f t="shared" si="0"/>
        <v>-54384.72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--382804.91</f>
        <v>382804.91</v>
      </c>
      <c r="U19" s="2"/>
      <c r="V19" s="19"/>
      <c r="W19" s="2"/>
      <c r="X19" s="2">
        <f t="shared" si="2"/>
        <v>-382804.91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--13906.05</f>
        <v>13906.05</v>
      </c>
      <c r="I20" s="2"/>
      <c r="J20" s="19"/>
      <c r="K20" s="2"/>
      <c r="L20" s="2">
        <f t="shared" si="0"/>
        <v>-13906.05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--92717.9</f>
        <v>92717.9</v>
      </c>
      <c r="U20" s="2"/>
      <c r="V20" s="19"/>
      <c r="W20" s="2"/>
      <c r="X20" s="2">
        <f t="shared" si="2"/>
        <v>-92717.9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--4800.32</f>
        <v>4800.32</v>
      </c>
      <c r="I21" s="2"/>
      <c r="J21" s="19"/>
      <c r="K21" s="2"/>
      <c r="L21" s="2">
        <f t="shared" si="0"/>
        <v>-4800.32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--43296.1</f>
        <v>43296.1</v>
      </c>
      <c r="U21" s="2"/>
      <c r="V21" s="19"/>
      <c r="W21" s="2"/>
      <c r="X21" s="2">
        <f t="shared" si="2"/>
        <v>-43296.1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--30454.88</f>
        <v>30454.880000000001</v>
      </c>
      <c r="I22" s="2"/>
      <c r="J22" s="19"/>
      <c r="K22" s="2"/>
      <c r="L22" s="2">
        <f t="shared" si="0"/>
        <v>-30454.880000000001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--40238.06</f>
        <v>40238.06</v>
      </c>
      <c r="U22" s="2"/>
      <c r="V22" s="19"/>
      <c r="W22" s="2"/>
      <c r="X22" s="2">
        <f t="shared" si="2"/>
        <v>-40238.06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--1157.64</f>
        <v>1157.6400000000001</v>
      </c>
      <c r="I23" s="2"/>
      <c r="J23" s="19"/>
      <c r="K23" s="2"/>
      <c r="L23" s="2">
        <f t="shared" si="0"/>
        <v>-1157.6400000000001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--12489.16</f>
        <v>12489.16</v>
      </c>
      <c r="U23" s="2"/>
      <c r="V23" s="19"/>
      <c r="W23" s="2"/>
      <c r="X23" s="2">
        <f t="shared" si="2"/>
        <v>-12489.16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--4950.17</f>
        <v>4950.17</v>
      </c>
      <c r="I24" s="2"/>
      <c r="J24" s="19"/>
      <c r="K24" s="2"/>
      <c r="L24" s="2">
        <f t="shared" si="0"/>
        <v>-4950.17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--96956.61</f>
        <v>96956.61</v>
      </c>
      <c r="U24" s="2"/>
      <c r="V24" s="19"/>
      <c r="W24" s="2"/>
      <c r="X24" s="2">
        <f t="shared" si="2"/>
        <v>-96956.61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--62982.5</f>
        <v>62982.5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62982.5</v>
      </c>
      <c r="M25" s="2"/>
      <c r="N25" s="19">
        <f t="shared" si="1"/>
        <v>0</v>
      </c>
      <c r="O25" s="11"/>
      <c r="P25" s="2">
        <f>--146392.84</f>
        <v>146392.84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146392.84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8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8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--160.95</f>
        <v>160.94999999999999</v>
      </c>
      <c r="I27" s="2"/>
      <c r="J27" s="19"/>
      <c r="K27" s="2"/>
      <c r="L27" s="2">
        <f t="shared" si="0"/>
        <v>-160.94999999999999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--2831.69</f>
        <v>2831.69</v>
      </c>
      <c r="U27" s="2"/>
      <c r="V27" s="19"/>
      <c r="W27" s="2"/>
      <c r="X27" s="2">
        <f t="shared" si="2"/>
        <v>-2831.69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 t="shared" si="7"/>
        <v>0</v>
      </c>
      <c r="E28" s="2"/>
      <c r="F28" s="19"/>
      <c r="G28" s="2"/>
      <c r="H28" s="2">
        <f>--1507.02</f>
        <v>1507.02</v>
      </c>
      <c r="I28" s="2"/>
      <c r="J28" s="19"/>
      <c r="K28" s="2"/>
      <c r="L28" s="2">
        <f t="shared" si="0"/>
        <v>-1507.02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--3678.28</f>
        <v>3678.28</v>
      </c>
      <c r="U28" s="2"/>
      <c r="V28" s="19"/>
      <c r="W28" s="2"/>
      <c r="X28" s="2">
        <f t="shared" si="2"/>
        <v>-3678.28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si="7"/>
        <v>0</v>
      </c>
      <c r="E29" s="2"/>
      <c r="F29" s="19"/>
      <c r="G29" s="2"/>
      <c r="H29" s="2">
        <f t="shared" ref="H29:H32" si="9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8"/>
        <v>0</v>
      </c>
      <c r="Q29" s="2"/>
      <c r="R29" s="19"/>
      <c r="S29" s="2"/>
      <c r="T29" s="2">
        <f>--22.49</f>
        <v>22.49</v>
      </c>
      <c r="U29" s="2"/>
      <c r="V29" s="19"/>
      <c r="W29" s="2"/>
      <c r="X29" s="2">
        <f t="shared" si="2"/>
        <v>-22.49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7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--80.71</f>
        <v>80.709999999999994</v>
      </c>
      <c r="U30" s="2"/>
      <c r="V30" s="19"/>
      <c r="W30" s="2"/>
      <c r="X30" s="2">
        <f t="shared" si="2"/>
        <v>-80.709999999999994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--45.53</f>
        <v>45.53</v>
      </c>
      <c r="U31" s="2"/>
      <c r="V31" s="19"/>
      <c r="W31" s="2"/>
      <c r="X31" s="2">
        <f t="shared" si="2"/>
        <v>-45.53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--68.25</f>
        <v>68.25</v>
      </c>
      <c r="U32" s="2"/>
      <c r="V32" s="19"/>
      <c r="W32" s="2"/>
      <c r="X32" s="2">
        <f t="shared" si="2"/>
        <v>-68.25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 t="shared" si="7"/>
        <v>0</v>
      </c>
      <c r="E33" s="2"/>
      <c r="F33" s="19"/>
      <c r="G33" s="2"/>
      <c r="H33" s="2">
        <f>--13163.04</f>
        <v>13163.04</v>
      </c>
      <c r="I33" s="2"/>
      <c r="J33" s="19"/>
      <c r="K33" s="2"/>
      <c r="L33" s="2">
        <f t="shared" si="0"/>
        <v>-13163.04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--30615.48</f>
        <v>30615.48</v>
      </c>
      <c r="U33" s="2"/>
      <c r="V33" s="19"/>
      <c r="W33" s="2"/>
      <c r="X33" s="2">
        <f t="shared" si="2"/>
        <v>-30615.48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 t="shared" si="7"/>
        <v>0</v>
      </c>
      <c r="E34" s="2"/>
      <c r="F34" s="19"/>
      <c r="G34" s="2"/>
      <c r="H34" s="2">
        <f>--383.71</f>
        <v>383.71</v>
      </c>
      <c r="I34" s="2"/>
      <c r="J34" s="19"/>
      <c r="K34" s="2"/>
      <c r="L34" s="2">
        <f t="shared" si="0"/>
        <v>-383.71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--2871.2</f>
        <v>2871.2</v>
      </c>
      <c r="U34" s="2"/>
      <c r="V34" s="19"/>
      <c r="W34" s="2"/>
      <c r="X34" s="2">
        <f t="shared" si="2"/>
        <v>-2871.2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 t="shared" si="7"/>
        <v>0</v>
      </c>
      <c r="E35" s="2"/>
      <c r="F35" s="19"/>
      <c r="G35" s="2"/>
      <c r="H35" s="2">
        <f>--65.68</f>
        <v>65.680000000000007</v>
      </c>
      <c r="I35" s="2"/>
      <c r="J35" s="19"/>
      <c r="K35" s="2"/>
      <c r="L35" s="2">
        <f t="shared" si="0"/>
        <v>-65.680000000000007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--1069.43</f>
        <v>1069.43</v>
      </c>
      <c r="U35" s="2"/>
      <c r="V35" s="19"/>
      <c r="W35" s="2"/>
      <c r="X35" s="2">
        <f t="shared" si="2"/>
        <v>-1069.43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 t="shared" si="7"/>
        <v>0</v>
      </c>
      <c r="E36" s="2"/>
      <c r="F36" s="19"/>
      <c r="G36" s="2"/>
      <c r="H36" s="2">
        <f>--9.99</f>
        <v>9.99</v>
      </c>
      <c r="I36" s="2"/>
      <c r="J36" s="19"/>
      <c r="K36" s="2"/>
      <c r="L36" s="2">
        <f t="shared" si="0"/>
        <v>-9.99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--29.97</f>
        <v>29.97</v>
      </c>
      <c r="U36" s="2"/>
      <c r="V36" s="19"/>
      <c r="W36" s="2"/>
      <c r="X36" s="2">
        <f t="shared" si="2"/>
        <v>-29.97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 t="shared" si="7"/>
        <v>0</v>
      </c>
      <c r="E37" s="2"/>
      <c r="F37" s="19"/>
      <c r="G37" s="2"/>
      <c r="H37" s="2">
        <f>--154</f>
        <v>154</v>
      </c>
      <c r="I37" s="2"/>
      <c r="J37" s="19"/>
      <c r="K37" s="2"/>
      <c r="L37" s="2">
        <f t="shared" si="0"/>
        <v>-154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--369.75</f>
        <v>369.75</v>
      </c>
      <c r="U37" s="2"/>
      <c r="V37" s="19"/>
      <c r="W37" s="2"/>
      <c r="X37" s="2">
        <f t="shared" si="2"/>
        <v>-369.75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si="7"/>
        <v>0</v>
      </c>
      <c r="E38" s="2"/>
      <c r="F38" s="19"/>
      <c r="G38" s="2"/>
      <c r="H38" s="2">
        <f t="shared" ref="H38:H39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8"/>
        <v>0</v>
      </c>
      <c r="Q38" s="2"/>
      <c r="R38" s="19"/>
      <c r="S38" s="2"/>
      <c r="T38" s="2">
        <f>--35846</f>
        <v>35846</v>
      </c>
      <c r="U38" s="2"/>
      <c r="V38" s="19"/>
      <c r="W38" s="2"/>
      <c r="X38" s="2">
        <f t="shared" si="2"/>
        <v>-35846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"4200", " - ", "TAXABLE RETURNS")</f>
        <v xml:space="preserve">          4200 - TAXABLE RETURNS</v>
      </c>
      <c r="C39" s="11"/>
      <c r="D39" s="2">
        <f>-9287.11</f>
        <v>-9287.11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-9287.11</v>
      </c>
      <c r="M39" s="2"/>
      <c r="N39" s="19">
        <f t="shared" si="1"/>
        <v>0</v>
      </c>
      <c r="O39" s="11"/>
      <c r="P39" s="2">
        <f>-32781.55</f>
        <v>-32781.550000000003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-32781.550000000003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ref="D40:D47" si="11">0</f>
        <v>0</v>
      </c>
      <c r="E40" s="2"/>
      <c r="F40" s="19"/>
      <c r="G40" s="2"/>
      <c r="H40" s="2">
        <f>-5.36</f>
        <v>-5.36</v>
      </c>
      <c r="I40" s="2"/>
      <c r="J40" s="19"/>
      <c r="K40" s="2"/>
      <c r="L40" s="2">
        <f t="shared" si="0"/>
        <v>5.36</v>
      </c>
      <c r="M40" s="2"/>
      <c r="N40" s="19">
        <f t="shared" si="1"/>
        <v>-1</v>
      </c>
      <c r="O40" s="11"/>
      <c r="P40" s="2">
        <f t="shared" ref="P40:P47" si="12">0</f>
        <v>0</v>
      </c>
      <c r="Q40" s="2"/>
      <c r="R40" s="19"/>
      <c r="S40" s="2"/>
      <c r="T40" s="2">
        <f>-34.23</f>
        <v>-34.229999999999997</v>
      </c>
      <c r="U40" s="2"/>
      <c r="V40" s="19"/>
      <c r="W40" s="2"/>
      <c r="X40" s="2">
        <f t="shared" si="2"/>
        <v>34.229999999999997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 t="shared" si="11"/>
        <v>0</v>
      </c>
      <c r="E41" s="2"/>
      <c r="F41" s="19"/>
      <c r="G41" s="2"/>
      <c r="H41" s="2">
        <f>-9.99</f>
        <v>-9.99</v>
      </c>
      <c r="I41" s="2"/>
      <c r="J41" s="19"/>
      <c r="K41" s="2"/>
      <c r="L41" s="2">
        <f t="shared" si="0"/>
        <v>9.99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-418.69</f>
        <v>-418.69</v>
      </c>
      <c r="U41" s="2"/>
      <c r="V41" s="19"/>
      <c r="W41" s="2"/>
      <c r="X41" s="2">
        <f t="shared" si="2"/>
        <v>418.69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 t="shared" si="11"/>
        <v>0</v>
      </c>
      <c r="E42" s="2"/>
      <c r="F42" s="19"/>
      <c r="G42" s="2"/>
      <c r="H42" s="2">
        <f>-2239.56</f>
        <v>-2239.56</v>
      </c>
      <c r="I42" s="2"/>
      <c r="J42" s="19"/>
      <c r="K42" s="2"/>
      <c r="L42" s="2">
        <f t="shared" si="0"/>
        <v>2239.56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-13849.52</f>
        <v>-13849.52</v>
      </c>
      <c r="U42" s="2"/>
      <c r="V42" s="19"/>
      <c r="W42" s="2"/>
      <c r="X42" s="2">
        <f t="shared" si="2"/>
        <v>13849.52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 t="shared" si="11"/>
        <v>0</v>
      </c>
      <c r="E43" s="2"/>
      <c r="F43" s="19"/>
      <c r="G43" s="2"/>
      <c r="H43" s="2">
        <f>-318.5</f>
        <v>-318.5</v>
      </c>
      <c r="I43" s="2"/>
      <c r="J43" s="19"/>
      <c r="K43" s="2"/>
      <c r="L43" s="2">
        <f t="shared" si="0"/>
        <v>318.5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-1879.86</f>
        <v>-1879.86</v>
      </c>
      <c r="U43" s="2"/>
      <c r="V43" s="19"/>
      <c r="W43" s="2"/>
      <c r="X43" s="2">
        <f t="shared" si="2"/>
        <v>1879.86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 t="shared" si="11"/>
        <v>0</v>
      </c>
      <c r="E44" s="2"/>
      <c r="F44" s="19"/>
      <c r="G44" s="2"/>
      <c r="H44" s="2">
        <f>-266.95</f>
        <v>-266.95</v>
      </c>
      <c r="I44" s="2"/>
      <c r="J44" s="19"/>
      <c r="K44" s="2"/>
      <c r="L44" s="2">
        <f t="shared" si="0"/>
        <v>266.95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-1321.51</f>
        <v>-1321.51</v>
      </c>
      <c r="U44" s="2"/>
      <c r="V44" s="19"/>
      <c r="W44" s="2"/>
      <c r="X44" s="2">
        <f t="shared" si="2"/>
        <v>1321.51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 t="shared" si="11"/>
        <v>0</v>
      </c>
      <c r="E45" s="2"/>
      <c r="F45" s="19"/>
      <c r="G45" s="2"/>
      <c r="H45" s="2">
        <f>-829.55</f>
        <v>-829.55</v>
      </c>
      <c r="I45" s="2"/>
      <c r="J45" s="19"/>
      <c r="K45" s="2"/>
      <c r="L45" s="2">
        <f t="shared" si="0"/>
        <v>829.55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-982.92</f>
        <v>-982.92</v>
      </c>
      <c r="U45" s="2"/>
      <c r="V45" s="19"/>
      <c r="W45" s="2"/>
      <c r="X45" s="2">
        <f t="shared" si="2"/>
        <v>982.92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 t="shared" si="11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2"/>
        <v>0</v>
      </c>
      <c r="Q46" s="2"/>
      <c r="R46" s="19"/>
      <c r="S46" s="2"/>
      <c r="T46" s="2">
        <f>-410.99</f>
        <v>-410.99</v>
      </c>
      <c r="U46" s="2"/>
      <c r="V46" s="19"/>
      <c r="W46" s="2"/>
      <c r="X46" s="2">
        <f t="shared" si="2"/>
        <v>410.99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 t="shared" si="11"/>
        <v>0</v>
      </c>
      <c r="E47" s="2"/>
      <c r="F47" s="19"/>
      <c r="G47" s="2"/>
      <c r="H47" s="2">
        <f>-363.98</f>
        <v>-363.98</v>
      </c>
      <c r="I47" s="2"/>
      <c r="J47" s="19"/>
      <c r="K47" s="2"/>
      <c r="L47" s="2">
        <f t="shared" si="0"/>
        <v>363.98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-1546.93</f>
        <v>-1546.93</v>
      </c>
      <c r="U47" s="2"/>
      <c r="V47" s="19"/>
      <c r="W47" s="2"/>
      <c r="X47" s="2">
        <f t="shared" si="2"/>
        <v>1546.93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"4300", " - ", "NON-TAX RETURNS")</f>
        <v xml:space="preserve">          4300 - NON-TAX RETURNS</v>
      </c>
      <c r="C48" s="11"/>
      <c r="D48" s="2">
        <f>-335.33</f>
        <v>-335.33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-335.33</v>
      </c>
      <c r="M48" s="2"/>
      <c r="N48" s="19">
        <f t="shared" si="1"/>
        <v>0</v>
      </c>
      <c r="O48" s="11"/>
      <c r="P48" s="2">
        <f>-894.31</f>
        <v>-894.31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-894.31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 t="shared" ref="D49:D51" si="13">0</f>
        <v>0</v>
      </c>
      <c r="E49" s="2"/>
      <c r="F49" s="19"/>
      <c r="G49" s="2"/>
      <c r="H49" s="2">
        <f>-195.69</f>
        <v>-195.69</v>
      </c>
      <c r="I49" s="2"/>
      <c r="J49" s="19"/>
      <c r="K49" s="2"/>
      <c r="L49" s="2">
        <f t="shared" si="0"/>
        <v>195.69</v>
      </c>
      <c r="M49" s="2"/>
      <c r="N49" s="19">
        <f t="shared" si="1"/>
        <v>-1</v>
      </c>
      <c r="O49" s="11"/>
      <c r="P49" s="2">
        <f t="shared" ref="P49:P51" si="14">0</f>
        <v>0</v>
      </c>
      <c r="Q49" s="2"/>
      <c r="R49" s="19"/>
      <c r="S49" s="2"/>
      <c r="T49" s="2">
        <f>-736.73</f>
        <v>-736.73</v>
      </c>
      <c r="U49" s="2"/>
      <c r="V49" s="19"/>
      <c r="W49" s="2"/>
      <c r="X49" s="2">
        <f t="shared" si="2"/>
        <v>736.73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si="13"/>
        <v>0</v>
      </c>
      <c r="E50" s="2"/>
      <c r="F50" s="19"/>
      <c r="G50" s="2"/>
      <c r="H50" s="2">
        <f t="shared" ref="H50:H52" si="15"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4"/>
        <v>0</v>
      </c>
      <c r="Q50" s="2"/>
      <c r="R50" s="19"/>
      <c r="S50" s="2"/>
      <c r="T50" s="2">
        <f>-146.9</f>
        <v>-146.9</v>
      </c>
      <c r="U50" s="2"/>
      <c r="V50" s="19"/>
      <c r="W50" s="2"/>
      <c r="X50" s="2">
        <f t="shared" si="2"/>
        <v>146.9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3"/>
        <v>0</v>
      </c>
      <c r="E51" s="2"/>
      <c r="F51" s="19"/>
      <c r="G51" s="2"/>
      <c r="H51" s="2">
        <f t="shared" si="15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14"/>
        <v>0</v>
      </c>
      <c r="Q51" s="2"/>
      <c r="R51" s="19"/>
      <c r="S51" s="2"/>
      <c r="T51" s="2">
        <f>-118.7</f>
        <v>-118.7</v>
      </c>
      <c r="U51" s="2"/>
      <c r="V51" s="19"/>
      <c r="W51" s="2"/>
      <c r="X51" s="2">
        <f t="shared" si="2"/>
        <v>118.7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"4500", " - ", "SALES DISCOUNT")</f>
        <v xml:space="preserve">          4500 - SALES DISCOUNT</v>
      </c>
      <c r="C52" s="11"/>
      <c r="D52" s="2">
        <f>-6924.23</f>
        <v>-6924.23</v>
      </c>
      <c r="E52" s="2"/>
      <c r="F52" s="19"/>
      <c r="G52" s="2"/>
      <c r="H52" s="2">
        <f t="shared" si="15"/>
        <v>0</v>
      </c>
      <c r="I52" s="2"/>
      <c r="J52" s="19"/>
      <c r="K52" s="2"/>
      <c r="L52" s="2">
        <f t="shared" si="0"/>
        <v>-6924.23</v>
      </c>
      <c r="M52" s="2"/>
      <c r="N52" s="19">
        <f t="shared" si="1"/>
        <v>0</v>
      </c>
      <c r="O52" s="11"/>
      <c r="P52" s="2">
        <f>-6924.23</f>
        <v>-6924.23</v>
      </c>
      <c r="Q52" s="2"/>
      <c r="R52" s="19"/>
      <c r="S52" s="2"/>
      <c r="T52" s="2">
        <f>0</f>
        <v>0</v>
      </c>
      <c r="U52" s="2"/>
      <c r="V52" s="19"/>
      <c r="W52" s="2"/>
      <c r="X52" s="2">
        <f t="shared" si="2"/>
        <v>-6924.23</v>
      </c>
      <c r="Y52" s="2"/>
      <c r="Z52" s="19">
        <f t="shared" si="3"/>
        <v>0</v>
      </c>
    </row>
    <row r="53" spans="1:26" x14ac:dyDescent="0.25">
      <c r="A53" s="9"/>
      <c r="B53" s="10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collapsed="1" x14ac:dyDescent="0.25">
      <c r="A54" s="10"/>
      <c r="B54" s="25" t="s">
        <v>256</v>
      </c>
      <c r="C54" s="10"/>
      <c r="D54" s="4">
        <f>SUM(OSRRefD16x_0)</f>
        <v>272515.94000000006</v>
      </c>
      <c r="E54" s="4"/>
      <c r="F54" s="12">
        <f t="shared" ref="F54:F78" si="16">IF(D$12=0,0,D54/D$12)</f>
        <v>0.5700802483789541</v>
      </c>
      <c r="G54" s="4"/>
      <c r="H54" s="4">
        <f>SUM(OSRRefH16x_0)</f>
        <v>60248.999999999993</v>
      </c>
      <c r="I54" s="4"/>
      <c r="J54" s="12">
        <f t="shared" ref="J54:J78" si="17">IF(H$12=0,0,H54/H$12)</f>
        <v>0.52204324097448052</v>
      </c>
      <c r="K54" s="4"/>
      <c r="L54" s="4">
        <f t="shared" ref="L54:L78" si="18">+D54-H54</f>
        <v>212266.94000000006</v>
      </c>
      <c r="M54" s="4"/>
      <c r="N54" s="12">
        <f t="shared" ref="N54:N78" si="19">IF(H54=0,0,L54/H54)</f>
        <v>3.5231612142940145</v>
      </c>
      <c r="O54" s="10"/>
      <c r="P54" s="4">
        <f>SUM(OSRRefP16x_0)</f>
        <v>680613.48</v>
      </c>
      <c r="Q54" s="4"/>
      <c r="R54" s="12">
        <f t="shared" ref="R54:R78" si="20">IF(P$12=0,0,P54/P$12)</f>
        <v>0.49591269940964389</v>
      </c>
      <c r="S54" s="4"/>
      <c r="T54" s="4">
        <f>SUM(OSRRefT16x_0)</f>
        <v>419529.54000000004</v>
      </c>
      <c r="U54" s="4"/>
      <c r="V54" s="12">
        <f t="shared" ref="V54:V78" si="21">IF(T$12=0,0,T54/T$12)</f>
        <v>0.58674040474265454</v>
      </c>
      <c r="W54" s="4"/>
      <c r="X54" s="4">
        <f t="shared" ref="X54:X78" si="22">+P54-T54</f>
        <v>261083.93999999994</v>
      </c>
      <c r="Y54" s="4"/>
      <c r="Z54" s="12">
        <f t="shared" ref="Z54:Z78" si="23">IF(T54=0,0,X54/T54)</f>
        <v>0.62232552205978131</v>
      </c>
    </row>
    <row r="55" spans="1:26" s="24" customFormat="1" hidden="1" outlineLevel="1" x14ac:dyDescent="0.25">
      <c r="A55" s="44"/>
      <c r="B55" s="11" t="str">
        <f>CONCATENATE("          ", "5000", " - ", "PURCHASES @ COST")</f>
        <v xml:space="preserve">          5000 - PURCHASES @ COST</v>
      </c>
      <c r="C55" s="11"/>
      <c r="D55" s="2">
        <v>446430.58</v>
      </c>
      <c r="E55" s="2"/>
      <c r="F55" s="19">
        <f t="shared" si="16"/>
        <v>0.9338949344774492</v>
      </c>
      <c r="G55" s="2"/>
      <c r="H55" s="2"/>
      <c r="I55" s="2"/>
      <c r="J55" s="19">
        <f t="shared" si="17"/>
        <v>0</v>
      </c>
      <c r="K55" s="2"/>
      <c r="L55" s="2">
        <f t="shared" si="18"/>
        <v>446430.58</v>
      </c>
      <c r="M55" s="2"/>
      <c r="N55" s="19">
        <f t="shared" si="19"/>
        <v>0</v>
      </c>
      <c r="O55" s="11"/>
      <c r="P55" s="2">
        <v>724935.47</v>
      </c>
      <c r="Q55" s="2"/>
      <c r="R55" s="19">
        <f t="shared" si="20"/>
        <v>0.52820685512355547</v>
      </c>
      <c r="S55" s="2"/>
      <c r="T55" s="2"/>
      <c r="U55" s="2"/>
      <c r="V55" s="19">
        <f t="shared" si="21"/>
        <v>0</v>
      </c>
      <c r="W55" s="2"/>
      <c r="X55" s="2">
        <f t="shared" si="22"/>
        <v>724935.47</v>
      </c>
      <c r="Y55" s="2"/>
      <c r="Z55" s="19">
        <f t="shared" si="23"/>
        <v>0</v>
      </c>
    </row>
    <row r="56" spans="1:26" s="24" customFormat="1" hidden="1" outlineLevel="1" x14ac:dyDescent="0.25">
      <c r="A56" s="44"/>
      <c r="B56" s="11" t="str">
        <f>CONCATENATE("          ", "5025", " - ", "PURCHASES @ COST-TEST FORMS")</f>
        <v xml:space="preserve">          5025 - PURCHASES @ COST-TEST FORMS</v>
      </c>
      <c r="C56" s="11"/>
      <c r="D56" s="2"/>
      <c r="E56" s="2"/>
      <c r="F56" s="19">
        <f t="shared" si="16"/>
        <v>0</v>
      </c>
      <c r="G56" s="2"/>
      <c r="H56" s="2">
        <v>599.29</v>
      </c>
      <c r="I56" s="2"/>
      <c r="J56" s="19">
        <f t="shared" si="17"/>
        <v>5.1927051715978103E-3</v>
      </c>
      <c r="K56" s="2"/>
      <c r="L56" s="2">
        <f t="shared" si="18"/>
        <v>-599.29</v>
      </c>
      <c r="M56" s="2"/>
      <c r="N56" s="19">
        <f t="shared" si="19"/>
        <v>-1</v>
      </c>
      <c r="O56" s="11"/>
      <c r="P56" s="2"/>
      <c r="Q56" s="2"/>
      <c r="R56" s="19">
        <f t="shared" si="20"/>
        <v>0</v>
      </c>
      <c r="S56" s="2"/>
      <c r="T56" s="2">
        <v>599.29</v>
      </c>
      <c r="U56" s="2"/>
      <c r="V56" s="19">
        <f t="shared" si="21"/>
        <v>8.3814755251376426E-4</v>
      </c>
      <c r="W56" s="2"/>
      <c r="X56" s="2">
        <f t="shared" si="22"/>
        <v>-599.29</v>
      </c>
      <c r="Y56" s="2"/>
      <c r="Z56" s="19">
        <f t="shared" si="23"/>
        <v>-1</v>
      </c>
    </row>
    <row r="57" spans="1:26" s="24" customFormat="1" hidden="1" outlineLevel="1" x14ac:dyDescent="0.25">
      <c r="A57" s="44"/>
      <c r="B57" s="11" t="str">
        <f>CONCATENATE("          ", "5026", " - ", "PURCHASES @ COST-WRITING INSTR")</f>
        <v xml:space="preserve">          5026 - PURCHASES @ COST-WRITING INSTR</v>
      </c>
      <c r="C57" s="11"/>
      <c r="D57" s="2"/>
      <c r="E57" s="2"/>
      <c r="F57" s="19">
        <f t="shared" si="16"/>
        <v>0</v>
      </c>
      <c r="G57" s="2"/>
      <c r="H57" s="2">
        <v>10</v>
      </c>
      <c r="I57" s="2"/>
      <c r="J57" s="19">
        <f t="shared" si="17"/>
        <v>8.6647619209361248E-5</v>
      </c>
      <c r="K57" s="2"/>
      <c r="L57" s="2">
        <f t="shared" si="18"/>
        <v>-10</v>
      </c>
      <c r="M57" s="2"/>
      <c r="N57" s="19">
        <f t="shared" si="19"/>
        <v>-1</v>
      </c>
      <c r="O57" s="11"/>
      <c r="P57" s="2"/>
      <c r="Q57" s="2"/>
      <c r="R57" s="19">
        <f t="shared" si="20"/>
        <v>0</v>
      </c>
      <c r="S57" s="2"/>
      <c r="T57" s="2">
        <v>10</v>
      </c>
      <c r="U57" s="2"/>
      <c r="V57" s="19">
        <f t="shared" si="21"/>
        <v>1.3985675591345831E-5</v>
      </c>
      <c r="W57" s="2"/>
      <c r="X57" s="2">
        <f t="shared" si="22"/>
        <v>-10</v>
      </c>
      <c r="Y57" s="2"/>
      <c r="Z57" s="19">
        <f t="shared" si="23"/>
        <v>-1</v>
      </c>
    </row>
    <row r="58" spans="1:26" s="24" customFormat="1" hidden="1" outlineLevel="1" x14ac:dyDescent="0.25">
      <c r="A58" s="44"/>
      <c r="B58" s="11" t="str">
        <f>CONCATENATE("          ", "5027", " - ", "PURCHASES @ COST-SCHOOL SUPPLI")</f>
        <v xml:space="preserve">          5027 - PURCHASES @ COST-SCHOOL SUPPLI</v>
      </c>
      <c r="C58" s="11"/>
      <c r="D58" s="2"/>
      <c r="E58" s="2"/>
      <c r="F58" s="19">
        <f t="shared" si="16"/>
        <v>0</v>
      </c>
      <c r="G58" s="2"/>
      <c r="H58" s="2">
        <v>9672.48</v>
      </c>
      <c r="I58" s="2"/>
      <c r="J58" s="19">
        <f t="shared" si="17"/>
        <v>8.3809736385016251E-2</v>
      </c>
      <c r="K58" s="2"/>
      <c r="L58" s="2">
        <f t="shared" si="18"/>
        <v>-9672.48</v>
      </c>
      <c r="M58" s="2"/>
      <c r="N58" s="19">
        <f t="shared" si="19"/>
        <v>-1</v>
      </c>
      <c r="O58" s="11"/>
      <c r="P58" s="2">
        <v>0</v>
      </c>
      <c r="Q58" s="2"/>
      <c r="R58" s="19">
        <f t="shared" si="20"/>
        <v>0</v>
      </c>
      <c r="S58" s="2"/>
      <c r="T58" s="2">
        <v>18175.88</v>
      </c>
      <c r="U58" s="2"/>
      <c r="V58" s="19">
        <f t="shared" si="21"/>
        <v>2.5420196126723086E-2</v>
      </c>
      <c r="W58" s="2"/>
      <c r="X58" s="2">
        <f t="shared" si="22"/>
        <v>-18175.88</v>
      </c>
      <c r="Y58" s="2"/>
      <c r="Z58" s="19">
        <f t="shared" si="23"/>
        <v>-1</v>
      </c>
    </row>
    <row r="59" spans="1:26" s="24" customFormat="1" hidden="1" outlineLevel="1" x14ac:dyDescent="0.25">
      <c r="A59" s="44"/>
      <c r="B59" s="11" t="str">
        <f>CONCATENATE("          ", "5028", " - ", "PURCHASES @ COST-ART/TECH")</f>
        <v xml:space="preserve">          5028 - PURCHASES @ COST-ART/TECH</v>
      </c>
      <c r="C59" s="11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1"/>
      <c r="P59" s="2">
        <v>0</v>
      </c>
      <c r="Q59" s="2"/>
      <c r="R59" s="19">
        <f t="shared" si="20"/>
        <v>0</v>
      </c>
      <c r="S59" s="2"/>
      <c r="T59" s="2">
        <v>-83.4</v>
      </c>
      <c r="U59" s="2"/>
      <c r="V59" s="19">
        <f t="shared" si="21"/>
        <v>-1.1664053443182424E-4</v>
      </c>
      <c r="W59" s="2"/>
      <c r="X59" s="2">
        <f t="shared" si="22"/>
        <v>83.4</v>
      </c>
      <c r="Y59" s="2"/>
      <c r="Z59" s="19">
        <f t="shared" si="23"/>
        <v>-1</v>
      </c>
    </row>
    <row r="60" spans="1:26" s="24" customFormat="1" hidden="1" outlineLevel="1" x14ac:dyDescent="0.25">
      <c r="A60" s="44"/>
      <c r="B60" s="11" t="str">
        <f>CONCATENATE("          ", "5031", " - ", "PURCHASES @ COST-FOOD")</f>
        <v xml:space="preserve">          5031 - PURCHASES @ COST-FOOD</v>
      </c>
      <c r="C60" s="11"/>
      <c r="D60" s="2"/>
      <c r="E60" s="2"/>
      <c r="F60" s="19">
        <f t="shared" si="16"/>
        <v>0</v>
      </c>
      <c r="G60" s="2"/>
      <c r="H60" s="2">
        <v>4421.92</v>
      </c>
      <c r="I60" s="2"/>
      <c r="J60" s="19">
        <f t="shared" si="17"/>
        <v>3.8314884033425874E-2</v>
      </c>
      <c r="K60" s="2"/>
      <c r="L60" s="2">
        <f t="shared" si="18"/>
        <v>-4421.92</v>
      </c>
      <c r="M60" s="2"/>
      <c r="N60" s="19">
        <f t="shared" si="19"/>
        <v>-1</v>
      </c>
      <c r="O60" s="11"/>
      <c r="P60" s="2">
        <v>0</v>
      </c>
      <c r="Q60" s="2"/>
      <c r="R60" s="19">
        <f t="shared" si="20"/>
        <v>0</v>
      </c>
      <c r="S60" s="2"/>
      <c r="T60" s="2">
        <v>5605.43</v>
      </c>
      <c r="U60" s="2"/>
      <c r="V60" s="19">
        <f t="shared" si="21"/>
        <v>7.839572552999767E-3</v>
      </c>
      <c r="W60" s="2"/>
      <c r="X60" s="2">
        <f t="shared" si="22"/>
        <v>-5605.43</v>
      </c>
      <c r="Y60" s="2"/>
      <c r="Z60" s="19">
        <f t="shared" si="23"/>
        <v>-1</v>
      </c>
    </row>
    <row r="61" spans="1:26" s="24" customFormat="1" hidden="1" outlineLevel="1" x14ac:dyDescent="0.25">
      <c r="A61" s="44"/>
      <c r="B61" s="11" t="str">
        <f>CONCATENATE("          ", "5040", " - ", "PURCHASES @ COST-LOGO CLOTHING")</f>
        <v xml:space="preserve">          5040 - PURCHASES @ COST-LOGO CLOTHING</v>
      </c>
      <c r="C61" s="11"/>
      <c r="D61" s="2"/>
      <c r="E61" s="2"/>
      <c r="F61" s="19">
        <f t="shared" si="16"/>
        <v>0</v>
      </c>
      <c r="G61" s="2"/>
      <c r="H61" s="2">
        <v>25420.9</v>
      </c>
      <c r="I61" s="2"/>
      <c r="J61" s="19">
        <f t="shared" si="17"/>
        <v>0.22026604631592517</v>
      </c>
      <c r="K61" s="2"/>
      <c r="L61" s="2">
        <f t="shared" si="18"/>
        <v>-25420.9</v>
      </c>
      <c r="M61" s="2"/>
      <c r="N61" s="19">
        <f t="shared" si="19"/>
        <v>-1</v>
      </c>
      <c r="O61" s="11"/>
      <c r="P61" s="2">
        <v>0</v>
      </c>
      <c r="Q61" s="2"/>
      <c r="R61" s="19">
        <f t="shared" si="20"/>
        <v>0</v>
      </c>
      <c r="S61" s="2"/>
      <c r="T61" s="2">
        <v>39170.949999999997</v>
      </c>
      <c r="U61" s="2"/>
      <c r="V61" s="19">
        <f t="shared" si="21"/>
        <v>5.4783219930482796E-2</v>
      </c>
      <c r="W61" s="2"/>
      <c r="X61" s="2">
        <f t="shared" si="22"/>
        <v>-39170.949999999997</v>
      </c>
      <c r="Y61" s="2"/>
      <c r="Z61" s="19">
        <f t="shared" si="23"/>
        <v>-1</v>
      </c>
    </row>
    <row r="62" spans="1:26" s="24" customFormat="1" hidden="1" outlineLevel="1" x14ac:dyDescent="0.25">
      <c r="A62" s="44"/>
      <c r="B62" s="11" t="str">
        <f>CONCATENATE("          ", "5041", " - ", "PURCHASES @ COST-LOGO GIFTS")</f>
        <v xml:space="preserve">          5041 - PURCHASES @ COST-LOGO GIFTS</v>
      </c>
      <c r="C62" s="11"/>
      <c r="D62" s="2"/>
      <c r="E62" s="2"/>
      <c r="F62" s="19">
        <f t="shared" si="16"/>
        <v>0</v>
      </c>
      <c r="G62" s="2"/>
      <c r="H62" s="2">
        <v>15289.8</v>
      </c>
      <c r="I62" s="2"/>
      <c r="J62" s="19">
        <f t="shared" si="17"/>
        <v>0.13248247681872916</v>
      </c>
      <c r="K62" s="2"/>
      <c r="L62" s="2">
        <f t="shared" si="18"/>
        <v>-15289.8</v>
      </c>
      <c r="M62" s="2"/>
      <c r="N62" s="19">
        <f t="shared" si="19"/>
        <v>-1</v>
      </c>
      <c r="O62" s="11"/>
      <c r="P62" s="2">
        <v>0</v>
      </c>
      <c r="Q62" s="2"/>
      <c r="R62" s="19">
        <f t="shared" si="20"/>
        <v>0</v>
      </c>
      <c r="S62" s="2"/>
      <c r="T62" s="2">
        <v>17287.34</v>
      </c>
      <c r="U62" s="2"/>
      <c r="V62" s="19">
        <f t="shared" si="21"/>
        <v>2.4177512907729643E-2</v>
      </c>
      <c r="W62" s="2"/>
      <c r="X62" s="2">
        <f t="shared" si="22"/>
        <v>-17287.34</v>
      </c>
      <c r="Y62" s="2"/>
      <c r="Z62" s="19">
        <f t="shared" si="23"/>
        <v>-1</v>
      </c>
    </row>
    <row r="63" spans="1:26" s="24" customFormat="1" hidden="1" outlineLevel="1" x14ac:dyDescent="0.25">
      <c r="A63" s="44"/>
      <c r="B63" s="11" t="str">
        <f>CONCATENATE("          ", "5042", " - ", "PURCHASES @ COST-EVERYDAY GIFT")</f>
        <v xml:space="preserve">          5042 - PURCHASES @ COST-EVERYDAY GIFT</v>
      </c>
      <c r="C63" s="11"/>
      <c r="D63" s="2"/>
      <c r="E63" s="2"/>
      <c r="F63" s="19">
        <f t="shared" si="16"/>
        <v>0</v>
      </c>
      <c r="G63" s="2"/>
      <c r="H63" s="2">
        <v>9421.5300000000007</v>
      </c>
      <c r="I63" s="2"/>
      <c r="J63" s="19">
        <f t="shared" si="17"/>
        <v>8.1635314380957336E-2</v>
      </c>
      <c r="K63" s="2"/>
      <c r="L63" s="2">
        <f t="shared" si="18"/>
        <v>-9421.5300000000007</v>
      </c>
      <c r="M63" s="2"/>
      <c r="N63" s="19">
        <f t="shared" si="19"/>
        <v>-1</v>
      </c>
      <c r="O63" s="11"/>
      <c r="P63" s="2">
        <v>0</v>
      </c>
      <c r="Q63" s="2"/>
      <c r="R63" s="19">
        <f t="shared" si="20"/>
        <v>0</v>
      </c>
      <c r="S63" s="2"/>
      <c r="T63" s="2">
        <v>10912.68</v>
      </c>
      <c r="U63" s="2"/>
      <c r="V63" s="19">
        <f t="shared" si="21"/>
        <v>1.5262120231216782E-2</v>
      </c>
      <c r="W63" s="2"/>
      <c r="X63" s="2">
        <f t="shared" si="22"/>
        <v>-10912.68</v>
      </c>
      <c r="Y63" s="2"/>
      <c r="Z63" s="19">
        <f t="shared" si="23"/>
        <v>-1</v>
      </c>
    </row>
    <row r="64" spans="1:26" s="24" customFormat="1" hidden="1" outlineLevel="1" x14ac:dyDescent="0.25">
      <c r="A64" s="44"/>
      <c r="B64" s="11" t="str">
        <f>CONCATENATE("          ", "5043", " - ", "PURCHASES @ COST-CARDS")</f>
        <v xml:space="preserve">          5043 - PURCHASES @ COST-CARDS</v>
      </c>
      <c r="C64" s="11"/>
      <c r="D64" s="2"/>
      <c r="E64" s="2"/>
      <c r="F64" s="19">
        <f t="shared" si="16"/>
        <v>0</v>
      </c>
      <c r="G64" s="2"/>
      <c r="H64" s="2">
        <v>2526.75</v>
      </c>
      <c r="I64" s="2"/>
      <c r="J64" s="19">
        <f t="shared" si="17"/>
        <v>2.1893687183725353E-2</v>
      </c>
      <c r="K64" s="2"/>
      <c r="L64" s="2">
        <f t="shared" si="18"/>
        <v>-2526.75</v>
      </c>
      <c r="M64" s="2"/>
      <c r="N64" s="19">
        <f t="shared" si="19"/>
        <v>-1</v>
      </c>
      <c r="O64" s="11"/>
      <c r="P64" s="2">
        <v>0</v>
      </c>
      <c r="Q64" s="2"/>
      <c r="R64" s="19">
        <f t="shared" si="20"/>
        <v>0</v>
      </c>
      <c r="S64" s="2"/>
      <c r="T64" s="2">
        <v>5643</v>
      </c>
      <c r="U64" s="2"/>
      <c r="V64" s="19">
        <f t="shared" si="21"/>
        <v>7.8921167361964521E-3</v>
      </c>
      <c r="W64" s="2"/>
      <c r="X64" s="2">
        <f t="shared" si="22"/>
        <v>-5643</v>
      </c>
      <c r="Y64" s="2"/>
      <c r="Z64" s="19">
        <f t="shared" si="23"/>
        <v>-1</v>
      </c>
    </row>
    <row r="65" spans="1:26" s="24" customFormat="1" hidden="1" outlineLevel="1" x14ac:dyDescent="0.25">
      <c r="A65" s="44"/>
      <c r="B65" s="11" t="str">
        <f>CONCATENATE("          ", "5044", " - ", "PURCHASES @ COST-ACCESSORIES")</f>
        <v xml:space="preserve">          5044 - PURCHASES @ COST-ACCESSORIES</v>
      </c>
      <c r="C65" s="11"/>
      <c r="D65" s="2"/>
      <c r="E65" s="2"/>
      <c r="F65" s="19">
        <f t="shared" si="16"/>
        <v>0</v>
      </c>
      <c r="G65" s="2"/>
      <c r="H65" s="2"/>
      <c r="I65" s="2"/>
      <c r="J65" s="19">
        <f t="shared" si="17"/>
        <v>0</v>
      </c>
      <c r="K65" s="2"/>
      <c r="L65" s="2">
        <f t="shared" si="18"/>
        <v>0</v>
      </c>
      <c r="M65" s="2"/>
      <c r="N65" s="19">
        <f t="shared" si="19"/>
        <v>0</v>
      </c>
      <c r="O65" s="11"/>
      <c r="P65" s="2">
        <v>0</v>
      </c>
      <c r="Q65" s="2"/>
      <c r="R65" s="19">
        <f t="shared" si="20"/>
        <v>0</v>
      </c>
      <c r="S65" s="2"/>
      <c r="T65" s="2"/>
      <c r="U65" s="2"/>
      <c r="V65" s="19">
        <f t="shared" si="21"/>
        <v>0</v>
      </c>
      <c r="W65" s="2"/>
      <c r="X65" s="2">
        <f t="shared" si="22"/>
        <v>0</v>
      </c>
      <c r="Y65" s="2"/>
      <c r="Z65" s="19">
        <f t="shared" si="23"/>
        <v>0</v>
      </c>
    </row>
    <row r="66" spans="1:26" s="24" customFormat="1" hidden="1" outlineLevel="1" x14ac:dyDescent="0.25">
      <c r="A66" s="44"/>
      <c r="B66" s="11" t="str">
        <f>CONCATENATE("          ", "5045", " - ", "PURCHASES @ COST-SPECIAL ORDER")</f>
        <v xml:space="preserve">          5045 - PURCHASES @ COST-SPECIAL ORDER</v>
      </c>
      <c r="C66" s="11"/>
      <c r="D66" s="2"/>
      <c r="E66" s="2"/>
      <c r="F66" s="19">
        <f t="shared" si="16"/>
        <v>0</v>
      </c>
      <c r="G66" s="2"/>
      <c r="H66" s="2">
        <v>10080.23</v>
      </c>
      <c r="I66" s="2"/>
      <c r="J66" s="19">
        <f t="shared" si="17"/>
        <v>8.7342793058277954E-2</v>
      </c>
      <c r="K66" s="2"/>
      <c r="L66" s="2">
        <f t="shared" si="18"/>
        <v>-10080.23</v>
      </c>
      <c r="M66" s="2"/>
      <c r="N66" s="19">
        <f t="shared" si="19"/>
        <v>-1</v>
      </c>
      <c r="O66" s="11"/>
      <c r="P66" s="2">
        <v>0</v>
      </c>
      <c r="Q66" s="2"/>
      <c r="R66" s="19">
        <f t="shared" si="20"/>
        <v>0</v>
      </c>
      <c r="S66" s="2"/>
      <c r="T66" s="2">
        <v>71254.52</v>
      </c>
      <c r="U66" s="2"/>
      <c r="V66" s="19">
        <f t="shared" si="21"/>
        <v>9.9654260113706344E-2</v>
      </c>
      <c r="W66" s="2"/>
      <c r="X66" s="2">
        <f t="shared" si="22"/>
        <v>-71254.52</v>
      </c>
      <c r="Y66" s="2"/>
      <c r="Z66" s="19">
        <f t="shared" si="23"/>
        <v>-1</v>
      </c>
    </row>
    <row r="67" spans="1:26" s="24" customFormat="1" hidden="1" outlineLevel="1" x14ac:dyDescent="0.25">
      <c r="A67" s="44"/>
      <c r="B67" s="11" t="str">
        <f>CONCATENATE("          ", "5200", " - ", "PURCHASES OFFSET")</f>
        <v xml:space="preserve">          5200 - PURCHASES OFFSET</v>
      </c>
      <c r="C67" s="11"/>
      <c r="D67" s="2">
        <v>-451854.04</v>
      </c>
      <c r="E67" s="2"/>
      <c r="F67" s="19">
        <f t="shared" si="16"/>
        <v>-0.94524035311194554</v>
      </c>
      <c r="G67" s="2"/>
      <c r="H67" s="2">
        <v>-79762.5</v>
      </c>
      <c r="I67" s="2"/>
      <c r="J67" s="19">
        <f t="shared" si="17"/>
        <v>-0.69112307271866769</v>
      </c>
      <c r="K67" s="2"/>
      <c r="L67" s="2">
        <f t="shared" si="18"/>
        <v>-372091.54</v>
      </c>
      <c r="M67" s="2"/>
      <c r="N67" s="19">
        <f t="shared" si="19"/>
        <v>4.6649934493026173</v>
      </c>
      <c r="O67" s="11"/>
      <c r="P67" s="2">
        <v>-737681.15</v>
      </c>
      <c r="Q67" s="2"/>
      <c r="R67" s="19">
        <f t="shared" si="20"/>
        <v>-0.53749368936993502</v>
      </c>
      <c r="S67" s="2"/>
      <c r="T67" s="2">
        <v>-173319.38</v>
      </c>
      <c r="U67" s="2"/>
      <c r="V67" s="19">
        <f t="shared" si="21"/>
        <v>-0.2423988622373193</v>
      </c>
      <c r="W67" s="2"/>
      <c r="X67" s="2">
        <f t="shared" si="22"/>
        <v>-564361.77</v>
      </c>
      <c r="Y67" s="2"/>
      <c r="Z67" s="19">
        <f t="shared" si="23"/>
        <v>3.2561954121922199</v>
      </c>
    </row>
    <row r="68" spans="1:26" s="24" customFormat="1" hidden="1" outlineLevel="1" x14ac:dyDescent="0.25">
      <c r="A68" s="44"/>
      <c r="B68" s="11" t="str">
        <f>CONCATENATE("          ", "5300", " - ", "COG$ OFFSET")</f>
        <v xml:space="preserve">          5300 - COG$ OFFSET</v>
      </c>
      <c r="C68" s="11"/>
      <c r="D68" s="2">
        <v>272515.94</v>
      </c>
      <c r="E68" s="2"/>
      <c r="F68" s="19">
        <f t="shared" si="16"/>
        <v>0.57008024837895388</v>
      </c>
      <c r="G68" s="2"/>
      <c r="H68" s="2">
        <v>60249</v>
      </c>
      <c r="I68" s="2"/>
      <c r="J68" s="19">
        <f t="shared" si="17"/>
        <v>0.52204324097448063</v>
      </c>
      <c r="K68" s="2"/>
      <c r="L68" s="2">
        <f t="shared" si="18"/>
        <v>212266.94</v>
      </c>
      <c r="M68" s="2"/>
      <c r="N68" s="19">
        <f t="shared" si="19"/>
        <v>3.5231612142940132</v>
      </c>
      <c r="O68" s="11"/>
      <c r="P68" s="2">
        <v>680613.48</v>
      </c>
      <c r="Q68" s="2"/>
      <c r="R68" s="19">
        <f t="shared" si="20"/>
        <v>0.49591269940964389</v>
      </c>
      <c r="S68" s="2"/>
      <c r="T68" s="2">
        <v>418613</v>
      </c>
      <c r="U68" s="2"/>
      <c r="V68" s="19">
        <f t="shared" si="21"/>
        <v>0.58545856163200527</v>
      </c>
      <c r="W68" s="2"/>
      <c r="X68" s="2">
        <f t="shared" si="22"/>
        <v>262000.47999999998</v>
      </c>
      <c r="Y68" s="2"/>
      <c r="Z68" s="19">
        <f t="shared" si="23"/>
        <v>0.62587755277547519</v>
      </c>
    </row>
    <row r="69" spans="1:26" s="24" customFormat="1" hidden="1" outlineLevel="1" x14ac:dyDescent="0.25">
      <c r="A69" s="44"/>
      <c r="B69" s="11" t="str">
        <f>CONCATENATE("          ", "5500", " - ", "FREIGHT-IN")</f>
        <v xml:space="preserve">          5500 - FREIGHT-IN</v>
      </c>
      <c r="C69" s="11"/>
      <c r="D69" s="2">
        <v>5423.46</v>
      </c>
      <c r="E69" s="2"/>
      <c r="F69" s="19">
        <f t="shared" si="16"/>
        <v>1.1345418634496469E-2</v>
      </c>
      <c r="G69" s="2"/>
      <c r="H69" s="2"/>
      <c r="I69" s="2"/>
      <c r="J69" s="19">
        <f t="shared" si="17"/>
        <v>0</v>
      </c>
      <c r="K69" s="2"/>
      <c r="L69" s="2">
        <f t="shared" si="18"/>
        <v>5423.46</v>
      </c>
      <c r="M69" s="2"/>
      <c r="N69" s="19">
        <f t="shared" si="19"/>
        <v>0</v>
      </c>
      <c r="O69" s="11"/>
      <c r="P69" s="2">
        <v>12745.68</v>
      </c>
      <c r="Q69" s="2"/>
      <c r="R69" s="19">
        <f t="shared" si="20"/>
        <v>9.2868342463794731E-3</v>
      </c>
      <c r="S69" s="2"/>
      <c r="T69" s="2"/>
      <c r="U69" s="2"/>
      <c r="V69" s="19">
        <f t="shared" si="21"/>
        <v>0</v>
      </c>
      <c r="W69" s="2"/>
      <c r="X69" s="2">
        <f t="shared" si="22"/>
        <v>12745.68</v>
      </c>
      <c r="Y69" s="2"/>
      <c r="Z69" s="19">
        <f t="shared" si="23"/>
        <v>0</v>
      </c>
    </row>
    <row r="70" spans="1:26" s="24" customFormat="1" hidden="1" outlineLevel="1" x14ac:dyDescent="0.25">
      <c r="A70" s="44"/>
      <c r="B70" s="11" t="str">
        <f>CONCATENATE("          ", "5525", " - ", "FREIGHT-IN-TEST FORMS")</f>
        <v xml:space="preserve">          5525 - FREIGHT-IN-TEST FORMS</v>
      </c>
      <c r="C70" s="11"/>
      <c r="D70" s="2"/>
      <c r="E70" s="2"/>
      <c r="F70" s="19">
        <f t="shared" si="16"/>
        <v>0</v>
      </c>
      <c r="G70" s="2"/>
      <c r="H70" s="2">
        <v>48.14</v>
      </c>
      <c r="I70" s="2"/>
      <c r="J70" s="19">
        <f t="shared" si="17"/>
        <v>4.1712163887386506E-4</v>
      </c>
      <c r="K70" s="2"/>
      <c r="L70" s="2">
        <f t="shared" si="18"/>
        <v>-48.14</v>
      </c>
      <c r="M70" s="2"/>
      <c r="N70" s="19">
        <f t="shared" si="19"/>
        <v>-1</v>
      </c>
      <c r="O70" s="11"/>
      <c r="P70" s="2"/>
      <c r="Q70" s="2"/>
      <c r="R70" s="19">
        <f t="shared" si="20"/>
        <v>0</v>
      </c>
      <c r="S70" s="2"/>
      <c r="T70" s="2">
        <v>48.14</v>
      </c>
      <c r="U70" s="2"/>
      <c r="V70" s="19">
        <f t="shared" si="21"/>
        <v>6.7327042296738826E-5</v>
      </c>
      <c r="W70" s="2"/>
      <c r="X70" s="2">
        <f t="shared" si="22"/>
        <v>-48.14</v>
      </c>
      <c r="Y70" s="2"/>
      <c r="Z70" s="19">
        <f t="shared" si="23"/>
        <v>-1</v>
      </c>
    </row>
    <row r="71" spans="1:26" s="24" customFormat="1" hidden="1" outlineLevel="1" x14ac:dyDescent="0.25">
      <c r="A71" s="44"/>
      <c r="B71" s="11" t="str">
        <f>CONCATENATE("          ", "5527", " - ", "FREIGHT-IN-SCHOOL SUPPLIES")</f>
        <v xml:space="preserve">          5527 - FREIGHT-IN-SCHOOL SUPPLIES</v>
      </c>
      <c r="C71" s="11"/>
      <c r="D71" s="2"/>
      <c r="E71" s="2"/>
      <c r="F71" s="19">
        <f t="shared" si="16"/>
        <v>0</v>
      </c>
      <c r="G71" s="2"/>
      <c r="H71" s="2">
        <v>56</v>
      </c>
      <c r="I71" s="2"/>
      <c r="J71" s="19">
        <f t="shared" si="17"/>
        <v>4.8522666757242302E-4</v>
      </c>
      <c r="K71" s="2"/>
      <c r="L71" s="2">
        <f t="shared" si="18"/>
        <v>-56</v>
      </c>
      <c r="M71" s="2"/>
      <c r="N71" s="19">
        <f t="shared" si="19"/>
        <v>-1</v>
      </c>
      <c r="O71" s="11"/>
      <c r="P71" s="2">
        <v>0</v>
      </c>
      <c r="Q71" s="2"/>
      <c r="R71" s="19">
        <f t="shared" si="20"/>
        <v>0</v>
      </c>
      <c r="S71" s="2"/>
      <c r="T71" s="2">
        <v>56</v>
      </c>
      <c r="U71" s="2"/>
      <c r="V71" s="19">
        <f t="shared" si="21"/>
        <v>7.8319783311536653E-5</v>
      </c>
      <c r="W71" s="2"/>
      <c r="X71" s="2">
        <f t="shared" si="22"/>
        <v>-56</v>
      </c>
      <c r="Y71" s="2"/>
      <c r="Z71" s="19">
        <f t="shared" si="23"/>
        <v>-1</v>
      </c>
    </row>
    <row r="72" spans="1:26" s="24" customFormat="1" hidden="1" outlineLevel="1" x14ac:dyDescent="0.25">
      <c r="A72" s="44"/>
      <c r="B72" s="11" t="str">
        <f>CONCATENATE("          ", "5528", " - ", "FREIGHT-IN-ART/TECH")</f>
        <v xml:space="preserve">          5528 - FREIGHT-IN-ART/TECH</v>
      </c>
      <c r="C72" s="11"/>
      <c r="D72" s="2"/>
      <c r="E72" s="2"/>
      <c r="F72" s="19">
        <f t="shared" si="16"/>
        <v>0</v>
      </c>
      <c r="G72" s="2"/>
      <c r="H72" s="2">
        <v>3.94</v>
      </c>
      <c r="I72" s="2"/>
      <c r="J72" s="19">
        <f t="shared" si="17"/>
        <v>3.4139161968488331E-5</v>
      </c>
      <c r="K72" s="2"/>
      <c r="L72" s="2">
        <f t="shared" si="18"/>
        <v>-3.94</v>
      </c>
      <c r="M72" s="2"/>
      <c r="N72" s="19">
        <f t="shared" si="19"/>
        <v>-1</v>
      </c>
      <c r="O72" s="11"/>
      <c r="P72" s="2"/>
      <c r="Q72" s="2"/>
      <c r="R72" s="19">
        <f t="shared" si="20"/>
        <v>0</v>
      </c>
      <c r="S72" s="2"/>
      <c r="T72" s="2">
        <v>3.94</v>
      </c>
      <c r="U72" s="2"/>
      <c r="V72" s="19">
        <f t="shared" si="21"/>
        <v>5.5103561829902572E-6</v>
      </c>
      <c r="W72" s="2"/>
      <c r="X72" s="2">
        <f t="shared" si="22"/>
        <v>-3.94</v>
      </c>
      <c r="Y72" s="2"/>
      <c r="Z72" s="19">
        <f t="shared" si="23"/>
        <v>-1</v>
      </c>
    </row>
    <row r="73" spans="1:26" s="24" customFormat="1" hidden="1" outlineLevel="1" x14ac:dyDescent="0.25">
      <c r="A73" s="44"/>
      <c r="B73" s="11" t="str">
        <f>CONCATENATE("          ", "5540", " - ", "FREIGHT-IN-LOGO CLOTHING")</f>
        <v xml:space="preserve">          5540 - FREIGHT-IN-LOGO CLOTHING</v>
      </c>
      <c r="C73" s="11"/>
      <c r="D73" s="2"/>
      <c r="E73" s="2"/>
      <c r="F73" s="19">
        <f t="shared" si="16"/>
        <v>0</v>
      </c>
      <c r="G73" s="2"/>
      <c r="H73" s="2">
        <v>1036.57</v>
      </c>
      <c r="I73" s="2"/>
      <c r="J73" s="19">
        <f t="shared" si="17"/>
        <v>8.9816322643847587E-3</v>
      </c>
      <c r="K73" s="2"/>
      <c r="L73" s="2">
        <f t="shared" si="18"/>
        <v>-1036.57</v>
      </c>
      <c r="M73" s="2"/>
      <c r="N73" s="19">
        <f t="shared" si="19"/>
        <v>-1</v>
      </c>
      <c r="O73" s="11"/>
      <c r="P73" s="2">
        <v>0</v>
      </c>
      <c r="Q73" s="2"/>
      <c r="R73" s="19">
        <f t="shared" si="20"/>
        <v>0</v>
      </c>
      <c r="S73" s="2"/>
      <c r="T73" s="2">
        <v>3202.33</v>
      </c>
      <c r="U73" s="2"/>
      <c r="V73" s="19">
        <f t="shared" si="21"/>
        <v>4.4786748516434495E-3</v>
      </c>
      <c r="W73" s="2"/>
      <c r="X73" s="2">
        <f t="shared" si="22"/>
        <v>-3202.33</v>
      </c>
      <c r="Y73" s="2"/>
      <c r="Z73" s="19">
        <f t="shared" si="23"/>
        <v>-1</v>
      </c>
    </row>
    <row r="74" spans="1:26" s="24" customFormat="1" hidden="1" outlineLevel="1" x14ac:dyDescent="0.25">
      <c r="A74" s="44"/>
      <c r="B74" s="11" t="str">
        <f>CONCATENATE("          ", "5541", " - ", "FREIGHT-IN-LOGO GIFTS")</f>
        <v xml:space="preserve">          5541 - FREIGHT-IN-LOGO GIFTS</v>
      </c>
      <c r="C74" s="11"/>
      <c r="D74" s="2"/>
      <c r="E74" s="2"/>
      <c r="F74" s="19">
        <f t="shared" si="16"/>
        <v>0</v>
      </c>
      <c r="G74" s="2"/>
      <c r="H74" s="2">
        <v>773.7</v>
      </c>
      <c r="I74" s="2"/>
      <c r="J74" s="19">
        <f t="shared" si="17"/>
        <v>6.7039262982282804E-3</v>
      </c>
      <c r="K74" s="2"/>
      <c r="L74" s="2">
        <f t="shared" si="18"/>
        <v>-773.7</v>
      </c>
      <c r="M74" s="2"/>
      <c r="N74" s="19">
        <f t="shared" si="19"/>
        <v>-1</v>
      </c>
      <c r="O74" s="11"/>
      <c r="P74" s="2">
        <v>0</v>
      </c>
      <c r="Q74" s="2"/>
      <c r="R74" s="19">
        <f t="shared" si="20"/>
        <v>0</v>
      </c>
      <c r="S74" s="2"/>
      <c r="T74" s="2">
        <v>1134.81</v>
      </c>
      <c r="U74" s="2"/>
      <c r="V74" s="19">
        <f t="shared" si="21"/>
        <v>1.5871084517815161E-3</v>
      </c>
      <c r="W74" s="2"/>
      <c r="X74" s="2">
        <f t="shared" si="22"/>
        <v>-1134.81</v>
      </c>
      <c r="Y74" s="2"/>
      <c r="Z74" s="19">
        <f t="shared" si="23"/>
        <v>-1</v>
      </c>
    </row>
    <row r="75" spans="1:26" s="24" customFormat="1" hidden="1" outlineLevel="1" x14ac:dyDescent="0.25">
      <c r="A75" s="44"/>
      <c r="B75" s="11" t="str">
        <f>CONCATENATE("          ", "5542", " - ", "FREIGHT-IN-EVERYDAY GIFTS")</f>
        <v xml:space="preserve">          5542 - FREIGHT-IN-EVERYDAY GIFTS</v>
      </c>
      <c r="C75" s="11"/>
      <c r="D75" s="2"/>
      <c r="E75" s="2"/>
      <c r="F75" s="19">
        <f t="shared" si="16"/>
        <v>0</v>
      </c>
      <c r="G75" s="2"/>
      <c r="H75" s="2">
        <v>104.17</v>
      </c>
      <c r="I75" s="2"/>
      <c r="J75" s="19">
        <f t="shared" si="17"/>
        <v>9.0260824930391622E-4</v>
      </c>
      <c r="K75" s="2"/>
      <c r="L75" s="2">
        <f t="shared" si="18"/>
        <v>-104.17</v>
      </c>
      <c r="M75" s="2"/>
      <c r="N75" s="19">
        <f t="shared" si="19"/>
        <v>-1</v>
      </c>
      <c r="O75" s="11"/>
      <c r="P75" s="2">
        <v>0</v>
      </c>
      <c r="Q75" s="2"/>
      <c r="R75" s="19">
        <f t="shared" si="20"/>
        <v>0</v>
      </c>
      <c r="S75" s="2"/>
      <c r="T75" s="2">
        <v>175.55</v>
      </c>
      <c r="U75" s="2"/>
      <c r="V75" s="19">
        <f t="shared" si="21"/>
        <v>2.4551853500607608E-4</v>
      </c>
      <c r="W75" s="2"/>
      <c r="X75" s="2">
        <f t="shared" si="22"/>
        <v>-175.55</v>
      </c>
      <c r="Y75" s="2"/>
      <c r="Z75" s="19">
        <f t="shared" si="23"/>
        <v>-1</v>
      </c>
    </row>
    <row r="76" spans="1:26" s="24" customFormat="1" hidden="1" outlineLevel="1" x14ac:dyDescent="0.25">
      <c r="A76" s="44"/>
      <c r="B76" s="11" t="str">
        <f>CONCATENATE("          ", "5543", " - ", "FREIGHT-IN-CARDS")</f>
        <v xml:space="preserve">          5543 - FREIGHT-IN-CARDS</v>
      </c>
      <c r="C76" s="11"/>
      <c r="D76" s="2"/>
      <c r="E76" s="2"/>
      <c r="F76" s="19">
        <f t="shared" si="16"/>
        <v>0</v>
      </c>
      <c r="G76" s="2"/>
      <c r="H76" s="2">
        <v>107.42</v>
      </c>
      <c r="I76" s="2"/>
      <c r="J76" s="19">
        <f t="shared" si="17"/>
        <v>9.3076872554695856E-4</v>
      </c>
      <c r="K76" s="2"/>
      <c r="L76" s="2">
        <f t="shared" si="18"/>
        <v>-107.42</v>
      </c>
      <c r="M76" s="2"/>
      <c r="N76" s="19">
        <f t="shared" si="19"/>
        <v>-1</v>
      </c>
      <c r="O76" s="11"/>
      <c r="P76" s="2"/>
      <c r="Q76" s="2"/>
      <c r="R76" s="19">
        <f t="shared" si="20"/>
        <v>0</v>
      </c>
      <c r="S76" s="2"/>
      <c r="T76" s="2">
        <v>189.19</v>
      </c>
      <c r="U76" s="2"/>
      <c r="V76" s="19">
        <f t="shared" si="21"/>
        <v>2.6459499651267175E-4</v>
      </c>
      <c r="W76" s="2"/>
      <c r="X76" s="2">
        <f t="shared" si="22"/>
        <v>-189.19</v>
      </c>
      <c r="Y76" s="2"/>
      <c r="Z76" s="19">
        <f t="shared" si="23"/>
        <v>-1</v>
      </c>
    </row>
    <row r="77" spans="1:26" s="24" customFormat="1" hidden="1" outlineLevel="1" x14ac:dyDescent="0.25">
      <c r="A77" s="44"/>
      <c r="B77" s="11" t="str">
        <f>CONCATENATE("          ", "5544", " - ", "FREIGHT-IN-ACCESSORIES")</f>
        <v xml:space="preserve">          5544 - FREIGHT-IN-ACCESSORIES</v>
      </c>
      <c r="C77" s="11"/>
      <c r="D77" s="2"/>
      <c r="E77" s="2"/>
      <c r="F77" s="19">
        <f t="shared" si="16"/>
        <v>0</v>
      </c>
      <c r="G77" s="2"/>
      <c r="H77" s="2"/>
      <c r="I77" s="2"/>
      <c r="J77" s="19">
        <f t="shared" si="17"/>
        <v>0</v>
      </c>
      <c r="K77" s="2"/>
      <c r="L77" s="2">
        <f t="shared" si="18"/>
        <v>0</v>
      </c>
      <c r="M77" s="2"/>
      <c r="N77" s="19">
        <f t="shared" si="19"/>
        <v>0</v>
      </c>
      <c r="O77" s="11"/>
      <c r="P77" s="2">
        <v>0</v>
      </c>
      <c r="Q77" s="2"/>
      <c r="R77" s="19">
        <f t="shared" si="20"/>
        <v>0</v>
      </c>
      <c r="S77" s="2"/>
      <c r="T77" s="2"/>
      <c r="U77" s="2"/>
      <c r="V77" s="19">
        <f t="shared" si="21"/>
        <v>0</v>
      </c>
      <c r="W77" s="2"/>
      <c r="X77" s="2">
        <f t="shared" si="22"/>
        <v>0</v>
      </c>
      <c r="Y77" s="2"/>
      <c r="Z77" s="19">
        <f t="shared" si="23"/>
        <v>0</v>
      </c>
    </row>
    <row r="78" spans="1:26" s="24" customFormat="1" hidden="1" outlineLevel="1" x14ac:dyDescent="0.25">
      <c r="A78" s="44"/>
      <c r="B78" s="11" t="str">
        <f>CONCATENATE("          ", "5545", " - ", "FREIGHT-IN-SPECIAL ORDERS")</f>
        <v xml:space="preserve">          5545 - FREIGHT-IN-SPECIAL ORDERS</v>
      </c>
      <c r="C78" s="11"/>
      <c r="D78" s="2"/>
      <c r="E78" s="2"/>
      <c r="F78" s="19">
        <f t="shared" si="16"/>
        <v>0</v>
      </c>
      <c r="G78" s="2"/>
      <c r="H78" s="2">
        <v>189.66</v>
      </c>
      <c r="I78" s="2"/>
      <c r="J78" s="19">
        <f t="shared" si="17"/>
        <v>1.6433587459247455E-3</v>
      </c>
      <c r="K78" s="2"/>
      <c r="L78" s="2">
        <f t="shared" si="18"/>
        <v>-189.66</v>
      </c>
      <c r="M78" s="2"/>
      <c r="N78" s="19">
        <f t="shared" si="19"/>
        <v>-1</v>
      </c>
      <c r="O78" s="11"/>
      <c r="P78" s="2">
        <v>0</v>
      </c>
      <c r="Q78" s="2"/>
      <c r="R78" s="19">
        <f t="shared" si="20"/>
        <v>0</v>
      </c>
      <c r="S78" s="2"/>
      <c r="T78" s="2">
        <v>850.27</v>
      </c>
      <c r="U78" s="2"/>
      <c r="V78" s="19">
        <f t="shared" si="21"/>
        <v>1.189160038505362E-3</v>
      </c>
      <c r="W78" s="2"/>
      <c r="X78" s="2">
        <f t="shared" si="22"/>
        <v>-850.27</v>
      </c>
      <c r="Y78" s="2"/>
      <c r="Z78" s="19">
        <f t="shared" si="23"/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107</v>
      </c>
      <c r="C80" s="26"/>
      <c r="D80" s="22">
        <f>D12-D54</f>
        <v>205514.89999999997</v>
      </c>
      <c r="E80" s="13"/>
      <c r="F80" s="20">
        <f>IF(D$12=0,0,D80/D$12)</f>
        <v>0.42991975162104595</v>
      </c>
      <c r="G80" s="13"/>
      <c r="H80" s="22">
        <f>H12-H54</f>
        <v>55160.980000000032</v>
      </c>
      <c r="I80" s="13"/>
      <c r="J80" s="20">
        <f>IF(H$12=0,0,H80/H$12)</f>
        <v>0.47795675902551948</v>
      </c>
      <c r="K80" s="15"/>
      <c r="L80" s="22">
        <f>+D80-H80</f>
        <v>150353.91999999993</v>
      </c>
      <c r="M80" s="15"/>
      <c r="N80" s="20">
        <f>IF(H80=0,0,L80/H80)</f>
        <v>2.7257296734031891</v>
      </c>
      <c r="O80" s="25"/>
      <c r="P80" s="22">
        <f>P12-P54</f>
        <v>691832.67999999993</v>
      </c>
      <c r="Q80" s="13"/>
      <c r="R80" s="20">
        <f>IF(P$12=0,0,P80/P$12)</f>
        <v>0.50408730059035611</v>
      </c>
      <c r="S80" s="13"/>
      <c r="T80" s="22">
        <f>T12-T54</f>
        <v>295487.76</v>
      </c>
      <c r="U80" s="13"/>
      <c r="V80" s="20">
        <f>IF(T$12=0,0,T80/T$12)</f>
        <v>0.41325959525734551</v>
      </c>
      <c r="W80" s="15"/>
      <c r="X80" s="22">
        <f>+P80-T80</f>
        <v>396344.91999999993</v>
      </c>
      <c r="Y80" s="15"/>
      <c r="Z80" s="20">
        <f>IF(T80=0,0,X80/T80)</f>
        <v>1.3413243242291997</v>
      </c>
    </row>
    <row r="81" spans="1:26" x14ac:dyDescent="0.25">
      <c r="A81" s="9"/>
      <c r="B81" s="10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5" t="s">
        <v>294</v>
      </c>
      <c r="C82" s="10"/>
      <c r="D82" s="21">
        <f>SUM(OSRRefD22x_0)</f>
        <v>105551.45000000001</v>
      </c>
      <c r="E82" s="21"/>
      <c r="F82" s="36">
        <f t="shared" ref="F82:F91" si="24">IF(D$12=0,0,D82/D$12)</f>
        <v>0.22080468699467173</v>
      </c>
      <c r="G82" s="21"/>
      <c r="H82" s="21">
        <f>SUM(OSRRefH22x_0)</f>
        <v>75807.510000000009</v>
      </c>
      <c r="I82" s="21"/>
      <c r="J82" s="36">
        <f t="shared" ref="J82:J91" si="25">IF(H$12=0,0,H82/H$12)</f>
        <v>0.65685402596898457</v>
      </c>
      <c r="K82" s="4"/>
      <c r="L82" s="21">
        <f t="shared" ref="L82:L91" si="26">+D82-H82</f>
        <v>29743.940000000002</v>
      </c>
      <c r="M82" s="4"/>
      <c r="N82" s="36">
        <f t="shared" ref="N82:N91" si="27">IF(H82=0,0,L82/H82)</f>
        <v>0.39236139005225207</v>
      </c>
      <c r="O82" s="10"/>
      <c r="P82" s="21">
        <f>SUM(OSRRefP22x_0)</f>
        <v>385864.96999999991</v>
      </c>
      <c r="Q82" s="21"/>
      <c r="R82" s="36">
        <f t="shared" ref="R82:R91" si="28">IF(P$12=0,0,P82/P$12)</f>
        <v>0.28115126206480839</v>
      </c>
      <c r="S82" s="21"/>
      <c r="T82" s="21">
        <f>SUM(OSRRefT22x_0)</f>
        <v>285809.32000000007</v>
      </c>
      <c r="U82" s="21"/>
      <c r="V82" s="36">
        <f t="shared" ref="V82:V91" si="29">IF(T$12=0,0,T82/T$12)</f>
        <v>0.39972364305031505</v>
      </c>
      <c r="W82" s="4"/>
      <c r="X82" s="21">
        <f t="shared" ref="X82:X91" si="30">+P82-T82</f>
        <v>100055.64999999985</v>
      </c>
      <c r="Y82" s="4"/>
      <c r="Z82" s="36">
        <f t="shared" ref="Z82:Z91" si="31">IF(T82=0,0,X82/T82)</f>
        <v>0.35007833194522775</v>
      </c>
    </row>
    <row r="83" spans="1:26" s="28" customFormat="1" outlineLevel="1" collapsed="1" x14ac:dyDescent="0.25">
      <c r="A83" s="27"/>
      <c r="B83" s="14" t="str">
        <f>CONCATENATE("     ","*Benefits                                         ")</f>
        <v xml:space="preserve">     *Benefits                                         </v>
      </c>
      <c r="C83" s="14"/>
      <c r="D83" s="1">
        <f>SUM(OSRRefD22_0x_0)</f>
        <v>17176.53</v>
      </c>
      <c r="E83" s="1"/>
      <c r="F83" s="5">
        <f t="shared" si="24"/>
        <v>3.5931844899379291E-2</v>
      </c>
      <c r="G83" s="1"/>
      <c r="H83" s="1">
        <f>SUM(OSRRefH22_0x_0)</f>
        <v>15231.83</v>
      </c>
      <c r="I83" s="1"/>
      <c r="J83" s="5">
        <f t="shared" si="25"/>
        <v>0.1319801805701725</v>
      </c>
      <c r="K83" s="1"/>
      <c r="L83" s="1">
        <f t="shared" si="26"/>
        <v>1944.6999999999989</v>
      </c>
      <c r="M83" s="1"/>
      <c r="N83" s="5">
        <f t="shared" si="27"/>
        <v>0.12767343122920877</v>
      </c>
      <c r="O83" s="14"/>
      <c r="P83" s="1">
        <f>SUM(OSRRefP22_0x_0)</f>
        <v>59383.07</v>
      </c>
      <c r="Q83" s="1"/>
      <c r="R83" s="5">
        <f t="shared" si="28"/>
        <v>4.3268050675299354E-2</v>
      </c>
      <c r="S83" s="1"/>
      <c r="T83" s="1">
        <f>SUM(OSRRefT22_0x_0)</f>
        <v>63441.040000000008</v>
      </c>
      <c r="U83" s="1"/>
      <c r="V83" s="5">
        <f t="shared" si="29"/>
        <v>8.8726580461759463E-2</v>
      </c>
      <c r="W83" s="1"/>
      <c r="X83" s="1">
        <f t="shared" si="30"/>
        <v>-4057.9700000000084</v>
      </c>
      <c r="Y83" s="1"/>
      <c r="Z83" s="5">
        <f t="shared" si="31"/>
        <v>-6.3964430595715452E-2</v>
      </c>
    </row>
    <row r="84" spans="1:26" s="24" customFormat="1" hidden="1" outlineLevel="2" x14ac:dyDescent="0.25">
      <c r="A84" s="29"/>
      <c r="B84" s="11" t="str">
        <f>CONCATENATE("          ", "6111", " - ", "F.I.C.A.")</f>
        <v xml:space="preserve">          6111 - F.I.C.A.</v>
      </c>
      <c r="C84" s="11"/>
      <c r="D84" s="6">
        <v>3183.03</v>
      </c>
      <c r="E84" s="2"/>
      <c r="F84" s="7">
        <f t="shared" si="24"/>
        <v>6.6586289704655879E-3</v>
      </c>
      <c r="G84" s="2"/>
      <c r="H84" s="6">
        <v>3369.28</v>
      </c>
      <c r="I84" s="2"/>
      <c r="J84" s="7">
        <f t="shared" si="25"/>
        <v>2.9194009044971669E-2</v>
      </c>
      <c r="K84" s="2"/>
      <c r="L84" s="6">
        <f t="shared" si="26"/>
        <v>-186.25</v>
      </c>
      <c r="M84" s="2"/>
      <c r="N84" s="7">
        <f t="shared" si="27"/>
        <v>-5.5278872637477439E-2</v>
      </c>
      <c r="O84" s="11"/>
      <c r="P84" s="6">
        <v>12959.23</v>
      </c>
      <c r="Q84" s="2"/>
      <c r="R84" s="7">
        <f t="shared" si="28"/>
        <v>9.4424323355606164E-3</v>
      </c>
      <c r="S84" s="2"/>
      <c r="T84" s="6">
        <v>14197.75</v>
      </c>
      <c r="U84" s="2"/>
      <c r="V84" s="7">
        <f t="shared" si="29"/>
        <v>1.9856512562703026E-2</v>
      </c>
      <c r="W84" s="2"/>
      <c r="X84" s="6">
        <f t="shared" si="30"/>
        <v>-1238.5200000000004</v>
      </c>
      <c r="Y84" s="2"/>
      <c r="Z84" s="7">
        <f t="shared" si="31"/>
        <v>-8.7233540525787565E-2</v>
      </c>
    </row>
    <row r="85" spans="1:26" s="24" customFormat="1" hidden="1" outlineLevel="2" x14ac:dyDescent="0.25">
      <c r="A85" s="29"/>
      <c r="B85" s="11" t="str">
        <f>CONCATENATE("          ", "6112", " - ", "COMPENSATION INSURANCE")</f>
        <v xml:space="preserve">          6112 - COMPENSATION INSURANCE</v>
      </c>
      <c r="C85" s="11"/>
      <c r="D85" s="6">
        <v>1239.96</v>
      </c>
      <c r="E85" s="2"/>
      <c r="F85" s="7">
        <f t="shared" si="24"/>
        <v>2.593891222583045E-3</v>
      </c>
      <c r="G85" s="2"/>
      <c r="H85" s="6">
        <v>716.01</v>
      </c>
      <c r="I85" s="2"/>
      <c r="J85" s="7">
        <f t="shared" si="25"/>
        <v>6.2040561830094751E-3</v>
      </c>
      <c r="K85" s="2"/>
      <c r="L85" s="6">
        <f t="shared" si="26"/>
        <v>523.95000000000005</v>
      </c>
      <c r="M85" s="2"/>
      <c r="N85" s="7">
        <f t="shared" si="27"/>
        <v>0.73176352285582613</v>
      </c>
      <c r="O85" s="11"/>
      <c r="P85" s="6">
        <v>3782.6</v>
      </c>
      <c r="Q85" s="2"/>
      <c r="R85" s="7">
        <f t="shared" si="28"/>
        <v>2.7561008294853624E-3</v>
      </c>
      <c r="S85" s="2"/>
      <c r="T85" s="6">
        <v>5002.24</v>
      </c>
      <c r="U85" s="2"/>
      <c r="V85" s="7">
        <f t="shared" si="29"/>
        <v>6.9959705870053764E-3</v>
      </c>
      <c r="W85" s="2"/>
      <c r="X85" s="6">
        <f t="shared" si="30"/>
        <v>-1219.6399999999999</v>
      </c>
      <c r="Y85" s="2"/>
      <c r="Z85" s="7">
        <f t="shared" si="31"/>
        <v>-0.24381876919140225</v>
      </c>
    </row>
    <row r="86" spans="1:26" s="24" customFormat="1" hidden="1" outlineLevel="2" x14ac:dyDescent="0.25">
      <c r="A86" s="29"/>
      <c r="B86" s="11" t="str">
        <f>CONCATENATE("          ", "6113", " - ", "GROUP INSURANCE")</f>
        <v xml:space="preserve">          6113 - GROUP INSURANCE</v>
      </c>
      <c r="C86" s="11"/>
      <c r="D86" s="6">
        <v>4811.13</v>
      </c>
      <c r="E86" s="2"/>
      <c r="F86" s="7">
        <f t="shared" si="24"/>
        <v>1.0064476174800772E-2</v>
      </c>
      <c r="G86" s="2"/>
      <c r="H86" s="6">
        <v>5541.11</v>
      </c>
      <c r="I86" s="2"/>
      <c r="J86" s="7">
        <f t="shared" si="25"/>
        <v>4.8012398927718372E-2</v>
      </c>
      <c r="K86" s="2"/>
      <c r="L86" s="6">
        <f t="shared" si="26"/>
        <v>-729.97999999999956</v>
      </c>
      <c r="M86" s="2"/>
      <c r="N86" s="7">
        <f t="shared" si="27"/>
        <v>-0.13173894761157956</v>
      </c>
      <c r="O86" s="11"/>
      <c r="P86" s="6">
        <v>19278.27</v>
      </c>
      <c r="Q86" s="2"/>
      <c r="R86" s="7">
        <f t="shared" si="28"/>
        <v>1.4046649378216775E-2</v>
      </c>
      <c r="S86" s="2"/>
      <c r="T86" s="6">
        <v>22298.15</v>
      </c>
      <c r="U86" s="2"/>
      <c r="V86" s="7">
        <f t="shared" si="29"/>
        <v>3.1185469218716805E-2</v>
      </c>
      <c r="W86" s="2"/>
      <c r="X86" s="6">
        <f t="shared" si="30"/>
        <v>-3019.880000000001</v>
      </c>
      <c r="Y86" s="2"/>
      <c r="Z86" s="7">
        <f t="shared" si="31"/>
        <v>-0.13543186318147474</v>
      </c>
    </row>
    <row r="87" spans="1:26" s="24" customFormat="1" hidden="1" outlineLevel="2" x14ac:dyDescent="0.25">
      <c r="A87" s="29"/>
      <c r="B87" s="11" t="str">
        <f>CONCATENATE("          ", "6114", " - ", "STATE UNEMPLOYMENT INSURANCE")</f>
        <v xml:space="preserve">          6114 - STATE UNEMPLOYMENT INSURANCE</v>
      </c>
      <c r="C87" s="11"/>
      <c r="D87" s="6">
        <v>217.83</v>
      </c>
      <c r="E87" s="2"/>
      <c r="F87" s="7">
        <f t="shared" si="24"/>
        <v>4.5568189700898797E-4</v>
      </c>
      <c r="G87" s="2"/>
      <c r="H87" s="6">
        <v>100.63</v>
      </c>
      <c r="I87" s="2"/>
      <c r="J87" s="7">
        <f t="shared" si="25"/>
        <v>8.719349921038022E-4</v>
      </c>
      <c r="K87" s="2"/>
      <c r="L87" s="6">
        <f t="shared" si="26"/>
        <v>117.20000000000002</v>
      </c>
      <c r="M87" s="2"/>
      <c r="N87" s="7">
        <f t="shared" si="27"/>
        <v>1.1646626254596046</v>
      </c>
      <c r="O87" s="11"/>
      <c r="P87" s="6">
        <v>664.5</v>
      </c>
      <c r="Q87" s="2"/>
      <c r="R87" s="7">
        <f t="shared" si="28"/>
        <v>4.8417199841194501E-4</v>
      </c>
      <c r="S87" s="2"/>
      <c r="T87" s="6">
        <v>502.9</v>
      </c>
      <c r="U87" s="2"/>
      <c r="V87" s="7">
        <f t="shared" si="29"/>
        <v>7.0333962548878185E-4</v>
      </c>
      <c r="W87" s="2"/>
      <c r="X87" s="6">
        <f t="shared" si="30"/>
        <v>161.60000000000002</v>
      </c>
      <c r="Y87" s="2"/>
      <c r="Z87" s="7">
        <f t="shared" si="31"/>
        <v>0.3213362497514417</v>
      </c>
    </row>
    <row r="88" spans="1:26" s="24" customFormat="1" hidden="1" outlineLevel="2" x14ac:dyDescent="0.25">
      <c r="A88" s="29"/>
      <c r="B88" s="11" t="str">
        <f>CONCATENATE("          ", "6115", " - ", "P.E.R.S.")</f>
        <v xml:space="preserve">          6115 - P.E.R.S.</v>
      </c>
      <c r="C88" s="11"/>
      <c r="D88" s="6">
        <v>2369.23</v>
      </c>
      <c r="E88" s="2"/>
      <c r="F88" s="7">
        <f t="shared" si="24"/>
        <v>4.9562283471083161E-3</v>
      </c>
      <c r="G88" s="2"/>
      <c r="H88" s="6">
        <v>1272.4100000000001</v>
      </c>
      <c r="I88" s="2"/>
      <c r="J88" s="7">
        <f t="shared" si="25"/>
        <v>1.1025129715818335E-2</v>
      </c>
      <c r="K88" s="2"/>
      <c r="L88" s="6">
        <f t="shared" si="26"/>
        <v>1096.82</v>
      </c>
      <c r="M88" s="2"/>
      <c r="N88" s="7">
        <f t="shared" si="27"/>
        <v>0.86200202764832079</v>
      </c>
      <c r="O88" s="11"/>
      <c r="P88" s="6">
        <v>7107.67</v>
      </c>
      <c r="Q88" s="2"/>
      <c r="R88" s="7">
        <f t="shared" si="28"/>
        <v>5.1788333904478996E-3</v>
      </c>
      <c r="S88" s="2"/>
      <c r="T88" s="6">
        <v>7338.26</v>
      </c>
      <c r="U88" s="2"/>
      <c r="V88" s="7">
        <f t="shared" si="29"/>
        <v>1.0263052376494946E-2</v>
      </c>
      <c r="W88" s="2"/>
      <c r="X88" s="6">
        <f t="shared" si="30"/>
        <v>-230.59000000000015</v>
      </c>
      <c r="Y88" s="2"/>
      <c r="Z88" s="7">
        <f t="shared" si="31"/>
        <v>-3.142298037954503E-2</v>
      </c>
    </row>
    <row r="89" spans="1:26" s="24" customFormat="1" hidden="1" outlineLevel="2" x14ac:dyDescent="0.25">
      <c r="A89" s="29"/>
      <c r="B89" s="11" t="str">
        <f>CONCATENATE("          ", "6118", " - ", "VACATION")</f>
        <v xml:space="preserve">          6118 - VACATION</v>
      </c>
      <c r="C89" s="11"/>
      <c r="D89" s="6">
        <v>2567.2800000000002</v>
      </c>
      <c r="E89" s="2"/>
      <c r="F89" s="7">
        <f t="shared" si="24"/>
        <v>5.370532160644698E-3</v>
      </c>
      <c r="G89" s="2"/>
      <c r="H89" s="6">
        <v>1957.79</v>
      </c>
      <c r="I89" s="2"/>
      <c r="J89" s="7">
        <f t="shared" si="25"/>
        <v>1.6963784241189536E-2</v>
      </c>
      <c r="K89" s="2"/>
      <c r="L89" s="6">
        <f t="shared" si="26"/>
        <v>609.49000000000024</v>
      </c>
      <c r="M89" s="2"/>
      <c r="N89" s="7">
        <f t="shared" si="27"/>
        <v>0.31131530960930448</v>
      </c>
      <c r="O89" s="11"/>
      <c r="P89" s="6">
        <v>7570.69</v>
      </c>
      <c r="Q89" s="2"/>
      <c r="R89" s="7">
        <f t="shared" si="28"/>
        <v>5.5162018158876266E-3</v>
      </c>
      <c r="S89" s="2"/>
      <c r="T89" s="6">
        <v>6818.16</v>
      </c>
      <c r="U89" s="2"/>
      <c r="V89" s="7">
        <f t="shared" si="29"/>
        <v>9.5356573889890488E-3</v>
      </c>
      <c r="W89" s="2"/>
      <c r="X89" s="6">
        <f t="shared" si="30"/>
        <v>752.52999999999975</v>
      </c>
      <c r="Y89" s="2"/>
      <c r="Z89" s="7">
        <f t="shared" si="31"/>
        <v>0.11037141985521016</v>
      </c>
    </row>
    <row r="90" spans="1:26" s="24" customFormat="1" hidden="1" outlineLevel="2" x14ac:dyDescent="0.25">
      <c r="A90" s="29"/>
      <c r="B90" s="11" t="str">
        <f>CONCATENATE("          ", "6119", " - ", "SICK LEAVE")</f>
        <v xml:space="preserve">          6119 - SICK LEAVE</v>
      </c>
      <c r="C90" s="11"/>
      <c r="D90" s="6">
        <v>1680.63</v>
      </c>
      <c r="E90" s="2"/>
      <c r="F90" s="7">
        <f t="shared" si="24"/>
        <v>3.5157355119598559E-3</v>
      </c>
      <c r="G90" s="2"/>
      <c r="H90" s="6">
        <v>1691.91</v>
      </c>
      <c r="I90" s="2"/>
      <c r="J90" s="7">
        <f t="shared" si="25"/>
        <v>1.465999734165104E-2</v>
      </c>
      <c r="K90" s="2"/>
      <c r="L90" s="6">
        <f t="shared" si="26"/>
        <v>-11.279999999999973</v>
      </c>
      <c r="M90" s="2"/>
      <c r="N90" s="7">
        <f t="shared" si="27"/>
        <v>-6.6670212954589615E-3</v>
      </c>
      <c r="O90" s="11"/>
      <c r="P90" s="6">
        <v>5041.8900000000003</v>
      </c>
      <c r="Q90" s="2"/>
      <c r="R90" s="7">
        <f t="shared" si="28"/>
        <v>3.6736523056030124E-3</v>
      </c>
      <c r="S90" s="2"/>
      <c r="T90" s="6">
        <v>5236.1400000000003</v>
      </c>
      <c r="U90" s="2"/>
      <c r="V90" s="7">
        <f t="shared" si="29"/>
        <v>7.3230955390869565E-3</v>
      </c>
      <c r="W90" s="2"/>
      <c r="X90" s="6">
        <f t="shared" si="30"/>
        <v>-194.25</v>
      </c>
      <c r="Y90" s="2"/>
      <c r="Z90" s="7">
        <f t="shared" si="31"/>
        <v>-3.7097938557792573E-2</v>
      </c>
    </row>
    <row r="91" spans="1:26" s="24" customFormat="1" hidden="1" outlineLevel="2" x14ac:dyDescent="0.25">
      <c r="A91" s="29"/>
      <c r="B91" s="11" t="str">
        <f>CONCATENATE("          ", "6156", " - ", "EMPLOYEE MEALS")</f>
        <v xml:space="preserve">          6156 - EMPLOYEE MEALS</v>
      </c>
      <c r="C91" s="11"/>
      <c r="D91" s="6">
        <v>1107.44</v>
      </c>
      <c r="E91" s="2"/>
      <c r="F91" s="7">
        <f t="shared" si="24"/>
        <v>2.316670614808032E-3</v>
      </c>
      <c r="G91" s="2"/>
      <c r="H91" s="6">
        <v>582.69000000000005</v>
      </c>
      <c r="I91" s="2"/>
      <c r="J91" s="7">
        <f t="shared" si="25"/>
        <v>5.0488701237102716E-3</v>
      </c>
      <c r="K91" s="2"/>
      <c r="L91" s="6">
        <f t="shared" si="26"/>
        <v>524.75</v>
      </c>
      <c r="M91" s="2"/>
      <c r="N91" s="7">
        <f t="shared" si="27"/>
        <v>0.90056462269817561</v>
      </c>
      <c r="O91" s="11"/>
      <c r="P91" s="6">
        <v>2978.22</v>
      </c>
      <c r="Q91" s="2"/>
      <c r="R91" s="7">
        <f t="shared" si="28"/>
        <v>2.1700086216861142E-3</v>
      </c>
      <c r="S91" s="2"/>
      <c r="T91" s="6">
        <v>2047.44</v>
      </c>
      <c r="U91" s="2"/>
      <c r="V91" s="7">
        <f t="shared" si="29"/>
        <v>2.8634831632745107E-3</v>
      </c>
      <c r="W91" s="2"/>
      <c r="X91" s="6">
        <f t="shared" si="30"/>
        <v>930.77999999999975</v>
      </c>
      <c r="Y91" s="2"/>
      <c r="Z91" s="7">
        <f t="shared" si="31"/>
        <v>0.45460672840229738</v>
      </c>
    </row>
    <row r="92" spans="1:26" s="28" customFormat="1" outlineLevel="1" collapsed="1" x14ac:dyDescent="0.25">
      <c r="A92" s="27"/>
      <c r="B92" s="14" t="str">
        <f>CONCATENATE("     ","*Payroll                                          ")</f>
        <v xml:space="preserve">     *Payroll                                          </v>
      </c>
      <c r="C92" s="14"/>
      <c r="D92" s="1">
        <f>SUM(OSRRefD22_1x_0)</f>
        <v>64816.81</v>
      </c>
      <c r="E92" s="1"/>
      <c r="F92" s="5">
        <f t="shared" ref="F92:F97" si="32">IF(D$12=0,0,D92/D$12)</f>
        <v>0.13559127273043722</v>
      </c>
      <c r="G92" s="1"/>
      <c r="H92" s="1">
        <f>SUM(OSRRefH22_1x_0)</f>
        <v>40179.089999999997</v>
      </c>
      <c r="I92" s="1"/>
      <c r="J92" s="5">
        <f t="shared" ref="J92:J97" si="33">IF(H$12=0,0,H92/H$12)</f>
        <v>0.3481422490498654</v>
      </c>
      <c r="K92" s="1"/>
      <c r="L92" s="1">
        <f t="shared" ref="L92:L97" si="34">+D92-H92</f>
        <v>24637.72</v>
      </c>
      <c r="M92" s="1"/>
      <c r="N92" s="5">
        <f t="shared" ref="N92:N97" si="35">IF(H92=0,0,L92/H92)</f>
        <v>0.61319756121903213</v>
      </c>
      <c r="O92" s="14"/>
      <c r="P92" s="1">
        <f>SUM(OSRRefP22_1x_0)</f>
        <v>250285.58</v>
      </c>
      <c r="Q92" s="1"/>
      <c r="R92" s="5">
        <f t="shared" ref="R92:R97" si="36">IF(P$12=0,0,P92/P$12)</f>
        <v>0.18236458907794242</v>
      </c>
      <c r="S92" s="1"/>
      <c r="T92" s="1">
        <f>SUM(OSRRefT22_1x_0)</f>
        <v>151827.35</v>
      </c>
      <c r="U92" s="1"/>
      <c r="V92" s="5">
        <f t="shared" ref="V92:V97" si="37">IF(T$12=0,0,T92/T$12)</f>
        <v>0.21234080629937205</v>
      </c>
      <c r="W92" s="1"/>
      <c r="X92" s="1">
        <f t="shared" ref="X92:X97" si="38">+P92-T92</f>
        <v>98458.229999999981</v>
      </c>
      <c r="Y92" s="1"/>
      <c r="Z92" s="5">
        <f t="shared" ref="Z92:Z97" si="39">IF(T92=0,0,X92/T92)</f>
        <v>0.64848810178139826</v>
      </c>
    </row>
    <row r="93" spans="1:26" s="24" customFormat="1" hidden="1" outlineLevel="2" x14ac:dyDescent="0.25">
      <c r="A93" s="29"/>
      <c r="B93" s="11" t="str">
        <f>CONCATENATE("          ", "6002", " - ", "STAFF SALARIES")</f>
        <v xml:space="preserve">          6002 - STAFF SALARIES</v>
      </c>
      <c r="C93" s="11"/>
      <c r="D93" s="6">
        <v>16163.64</v>
      </c>
      <c r="E93" s="2"/>
      <c r="F93" s="7">
        <f t="shared" si="32"/>
        <v>3.3812964870634704E-2</v>
      </c>
      <c r="G93" s="2"/>
      <c r="H93" s="6">
        <v>14599.4</v>
      </c>
      <c r="I93" s="2"/>
      <c r="J93" s="7">
        <f t="shared" si="33"/>
        <v>0.12650032518851487</v>
      </c>
      <c r="K93" s="2"/>
      <c r="L93" s="6">
        <f t="shared" si="34"/>
        <v>1564.2399999999998</v>
      </c>
      <c r="M93" s="2"/>
      <c r="N93" s="7">
        <f t="shared" si="35"/>
        <v>0.10714412921078947</v>
      </c>
      <c r="O93" s="11"/>
      <c r="P93" s="6">
        <v>67908.03</v>
      </c>
      <c r="Q93" s="2"/>
      <c r="R93" s="7">
        <f t="shared" si="36"/>
        <v>4.947955845495608E-2</v>
      </c>
      <c r="S93" s="2"/>
      <c r="T93" s="6">
        <v>70287.22</v>
      </c>
      <c r="U93" s="2"/>
      <c r="V93" s="7">
        <f t="shared" si="37"/>
        <v>9.8301425713755455E-2</v>
      </c>
      <c r="W93" s="2"/>
      <c r="X93" s="6">
        <f t="shared" si="38"/>
        <v>-2379.1900000000023</v>
      </c>
      <c r="Y93" s="2"/>
      <c r="Z93" s="7">
        <f t="shared" si="39"/>
        <v>-3.3849539076947446E-2</v>
      </c>
    </row>
    <row r="94" spans="1:26" s="24" customFormat="1" hidden="1" outlineLevel="2" x14ac:dyDescent="0.25">
      <c r="A94" s="29"/>
      <c r="B94" s="11" t="str">
        <f>CONCATENATE("          ", "6004", " - ", "STAFF HOURLY")</f>
        <v xml:space="preserve">          6004 - STAFF HOURLY</v>
      </c>
      <c r="C94" s="11"/>
      <c r="D94" s="6">
        <v>12445.29</v>
      </c>
      <c r="E94" s="2"/>
      <c r="F94" s="7">
        <f t="shared" si="32"/>
        <v>2.6034491833204738E-2</v>
      </c>
      <c r="G94" s="2"/>
      <c r="H94" s="6">
        <v>9364.9599999999991</v>
      </c>
      <c r="I94" s="2"/>
      <c r="J94" s="7">
        <f t="shared" si="33"/>
        <v>8.1145148799089961E-2</v>
      </c>
      <c r="K94" s="2"/>
      <c r="L94" s="6">
        <f t="shared" si="34"/>
        <v>3080.3300000000017</v>
      </c>
      <c r="M94" s="2"/>
      <c r="N94" s="7">
        <f t="shared" si="35"/>
        <v>0.32892078556662302</v>
      </c>
      <c r="O94" s="11"/>
      <c r="P94" s="6">
        <v>37673.760000000002</v>
      </c>
      <c r="Q94" s="2"/>
      <c r="R94" s="7">
        <f t="shared" si="36"/>
        <v>2.7450082267708051E-2</v>
      </c>
      <c r="S94" s="2"/>
      <c r="T94" s="6">
        <v>32799.449999999997</v>
      </c>
      <c r="U94" s="2"/>
      <c r="V94" s="7">
        <f t="shared" si="37"/>
        <v>4.5872246727456795E-2</v>
      </c>
      <c r="W94" s="2"/>
      <c r="X94" s="6">
        <f t="shared" si="38"/>
        <v>4874.3100000000049</v>
      </c>
      <c r="Y94" s="2"/>
      <c r="Z94" s="7">
        <f t="shared" si="39"/>
        <v>0.1486095041227827</v>
      </c>
    </row>
    <row r="95" spans="1:26" s="24" customFormat="1" hidden="1" outlineLevel="2" x14ac:dyDescent="0.25">
      <c r="A95" s="29"/>
      <c r="B95" s="11" t="str">
        <f>CONCATENATE("          ", "6005", " - ", "TEMPORARY WAGES-HOURLY")</f>
        <v xml:space="preserve">          6005 - TEMPORARY WAGES-HOURLY</v>
      </c>
      <c r="C95" s="11"/>
      <c r="D95" s="6">
        <v>4318.3599999999997</v>
      </c>
      <c r="E95" s="2"/>
      <c r="F95" s="7">
        <f t="shared" si="32"/>
        <v>9.0336431013530415E-3</v>
      </c>
      <c r="G95" s="2"/>
      <c r="H95" s="6">
        <v>7661.13</v>
      </c>
      <c r="I95" s="2"/>
      <c r="J95" s="7">
        <f t="shared" si="33"/>
        <v>6.6381867495341376E-2</v>
      </c>
      <c r="K95" s="2"/>
      <c r="L95" s="6">
        <f t="shared" si="34"/>
        <v>-3342.7700000000004</v>
      </c>
      <c r="M95" s="2"/>
      <c r="N95" s="7">
        <f t="shared" si="35"/>
        <v>-0.43632858338130281</v>
      </c>
      <c r="O95" s="11"/>
      <c r="P95" s="6">
        <v>14615.29</v>
      </c>
      <c r="Q95" s="2"/>
      <c r="R95" s="7">
        <f t="shared" si="36"/>
        <v>1.0649080762483245E-2</v>
      </c>
      <c r="S95" s="2"/>
      <c r="T95" s="6">
        <v>20700.080000000002</v>
      </c>
      <c r="U95" s="2"/>
      <c r="V95" s="7">
        <f t="shared" si="37"/>
        <v>2.8950460359490605E-2</v>
      </c>
      <c r="W95" s="2"/>
      <c r="X95" s="6">
        <f t="shared" si="38"/>
        <v>-6084.7900000000009</v>
      </c>
      <c r="Y95" s="2"/>
      <c r="Z95" s="7">
        <f t="shared" si="39"/>
        <v>-0.29395007169054421</v>
      </c>
    </row>
    <row r="96" spans="1:26" s="24" customFormat="1" hidden="1" outlineLevel="2" x14ac:dyDescent="0.25">
      <c r="A96" s="29"/>
      <c r="B96" s="11" t="str">
        <f>CONCATENATE("          ", "6007", " - ", "STUDENT HOURLY")</f>
        <v xml:space="preserve">          6007 - STUDENT HOURLY</v>
      </c>
      <c r="C96" s="11"/>
      <c r="D96" s="6">
        <v>24865.86</v>
      </c>
      <c r="E96" s="2"/>
      <c r="F96" s="7">
        <f t="shared" si="32"/>
        <v>5.2017271521644919E-2</v>
      </c>
      <c r="G96" s="2"/>
      <c r="H96" s="6">
        <v>7077.58</v>
      </c>
      <c r="I96" s="2"/>
      <c r="J96" s="7">
        <f t="shared" si="33"/>
        <v>6.1325545676379101E-2</v>
      </c>
      <c r="K96" s="2"/>
      <c r="L96" s="6">
        <f t="shared" si="34"/>
        <v>17788.28</v>
      </c>
      <c r="M96" s="2"/>
      <c r="N96" s="7">
        <f t="shared" si="35"/>
        <v>2.5133280019441671</v>
      </c>
      <c r="O96" s="11"/>
      <c r="P96" s="6">
        <v>100562.04</v>
      </c>
      <c r="Q96" s="2"/>
      <c r="R96" s="7">
        <f t="shared" si="36"/>
        <v>7.3272120197414525E-2</v>
      </c>
      <c r="S96" s="2"/>
      <c r="T96" s="6">
        <v>25075.88</v>
      </c>
      <c r="U96" s="2"/>
      <c r="V96" s="7">
        <f t="shared" si="37"/>
        <v>3.5070312284751708E-2</v>
      </c>
      <c r="W96" s="2"/>
      <c r="X96" s="6">
        <f t="shared" si="38"/>
        <v>75486.159999999989</v>
      </c>
      <c r="Y96" s="2"/>
      <c r="Z96" s="7">
        <f t="shared" si="39"/>
        <v>3.0103095085795588</v>
      </c>
    </row>
    <row r="97" spans="1:26" s="24" customFormat="1" hidden="1" outlineLevel="2" x14ac:dyDescent="0.25">
      <c r="A97" s="29"/>
      <c r="B97" s="11" t="str">
        <f>CONCATENATE("          ", "6008", " - ", "STUDENT HOURLY-FICA EXEMPT")</f>
        <v xml:space="preserve">          6008 - STUDENT HOURLY-FICA EXEMPT</v>
      </c>
      <c r="C97" s="11"/>
      <c r="D97" s="6">
        <v>7023.66</v>
      </c>
      <c r="E97" s="2"/>
      <c r="F97" s="7">
        <f t="shared" si="32"/>
        <v>1.4692901403599816E-2</v>
      </c>
      <c r="G97" s="2"/>
      <c r="H97" s="6">
        <v>1476.02</v>
      </c>
      <c r="I97" s="2"/>
      <c r="J97" s="7">
        <f t="shared" si="33"/>
        <v>1.2789361890540139E-2</v>
      </c>
      <c r="K97" s="2"/>
      <c r="L97" s="6">
        <f t="shared" si="34"/>
        <v>5547.6399999999994</v>
      </c>
      <c r="M97" s="2"/>
      <c r="N97" s="7">
        <f t="shared" si="35"/>
        <v>3.7585127572797115</v>
      </c>
      <c r="O97" s="11"/>
      <c r="P97" s="6">
        <v>29526.46</v>
      </c>
      <c r="Q97" s="2"/>
      <c r="R97" s="7">
        <f t="shared" si="36"/>
        <v>2.1513747395380523E-2</v>
      </c>
      <c r="S97" s="2"/>
      <c r="T97" s="6">
        <v>2964.72</v>
      </c>
      <c r="U97" s="2"/>
      <c r="V97" s="7">
        <f t="shared" si="37"/>
        <v>4.1463612139174813E-3</v>
      </c>
      <c r="W97" s="2"/>
      <c r="X97" s="6">
        <f t="shared" si="38"/>
        <v>26561.739999999998</v>
      </c>
      <c r="Y97" s="2"/>
      <c r="Z97" s="7">
        <f t="shared" si="39"/>
        <v>8.9592744002806342</v>
      </c>
    </row>
    <row r="98" spans="1:26" s="28" customFormat="1" outlineLevel="1" collapsed="1" x14ac:dyDescent="0.25">
      <c r="A98" s="27"/>
      <c r="B98" s="14" t="str">
        <f>CONCATENATE("     ","Advertising/Promo                                 ")</f>
        <v xml:space="preserve">     Advertising/Promo                                 </v>
      </c>
      <c r="C98" s="14"/>
      <c r="D98" s="1">
        <f>SUM(OSRRefD22_2x_0)</f>
        <v>723.37</v>
      </c>
      <c r="E98" s="1"/>
      <c r="F98" s="5">
        <f t="shared" ref="F98:F106" si="40">IF(D$12=0,0,D98/D$12)</f>
        <v>1.51322872808792E-3</v>
      </c>
      <c r="G98" s="1"/>
      <c r="H98" s="1">
        <f>SUM(OSRRefH22_2x_0)</f>
        <v>1191.44</v>
      </c>
      <c r="I98" s="1"/>
      <c r="J98" s="5">
        <f t="shared" ref="J98:J106" si="41">IF(H$12=0,0,H98/H$12)</f>
        <v>1.0323543943080138E-2</v>
      </c>
      <c r="K98" s="1"/>
      <c r="L98" s="1">
        <f t="shared" ref="L98:L106" si="42">+D98-H98</f>
        <v>-468.07000000000005</v>
      </c>
      <c r="M98" s="1"/>
      <c r="N98" s="5">
        <f t="shared" ref="N98:N106" si="43">IF(H98=0,0,L98/H98)</f>
        <v>-0.39286073994494058</v>
      </c>
      <c r="O98" s="14"/>
      <c r="P98" s="1">
        <f>SUM(OSRRefP22_2x_0)</f>
        <v>2490.38</v>
      </c>
      <c r="Q98" s="1"/>
      <c r="R98" s="5">
        <f t="shared" ref="R98:R106" si="44">IF(P$12=0,0,P98/P$12)</f>
        <v>1.814555698126621E-3</v>
      </c>
      <c r="S98" s="1"/>
      <c r="T98" s="1">
        <f>SUM(OSRRefT22_2x_0)</f>
        <v>12225.15</v>
      </c>
      <c r="U98" s="1"/>
      <c r="V98" s="5">
        <f t="shared" ref="V98:V106" si="45">IF(T$12=0,0,T98/T$12)</f>
        <v>1.7097698195554147E-2</v>
      </c>
      <c r="W98" s="1"/>
      <c r="X98" s="1">
        <f t="shared" ref="X98:X106" si="46">+P98-T98</f>
        <v>-9734.77</v>
      </c>
      <c r="Y98" s="1"/>
      <c r="Z98" s="5">
        <f t="shared" ref="Z98:Z106" si="47">IF(T98=0,0,X98/T98)</f>
        <v>-0.79629043406420374</v>
      </c>
    </row>
    <row r="99" spans="1:26" s="24" customFormat="1" hidden="1" outlineLevel="2" x14ac:dyDescent="0.25">
      <c r="A99" s="29"/>
      <c r="B99" s="11" t="str">
        <f>CONCATENATE("          ", "6362", " - ", "ADVERTISING EXPENSE")</f>
        <v xml:space="preserve">          6362 - ADVERTISING EXPENSE</v>
      </c>
      <c r="C99" s="11"/>
      <c r="D99" s="6">
        <v>723.37</v>
      </c>
      <c r="E99" s="2"/>
      <c r="F99" s="7">
        <f t="shared" si="40"/>
        <v>1.51322872808792E-3</v>
      </c>
      <c r="G99" s="2"/>
      <c r="H99" s="6">
        <v>1191.44</v>
      </c>
      <c r="I99" s="2"/>
      <c r="J99" s="7">
        <f t="shared" si="41"/>
        <v>1.0323543943080138E-2</v>
      </c>
      <c r="K99" s="2"/>
      <c r="L99" s="6">
        <f t="shared" si="42"/>
        <v>-468.07000000000005</v>
      </c>
      <c r="M99" s="2"/>
      <c r="N99" s="7">
        <f t="shared" si="43"/>
        <v>-0.39286073994494058</v>
      </c>
      <c r="O99" s="11"/>
      <c r="P99" s="6">
        <v>2490.38</v>
      </c>
      <c r="Q99" s="2"/>
      <c r="R99" s="7">
        <f t="shared" si="44"/>
        <v>1.814555698126621E-3</v>
      </c>
      <c r="S99" s="2"/>
      <c r="T99" s="6">
        <v>12225.15</v>
      </c>
      <c r="U99" s="2"/>
      <c r="V99" s="7">
        <f t="shared" si="45"/>
        <v>1.7097698195554147E-2</v>
      </c>
      <c r="W99" s="2"/>
      <c r="X99" s="6">
        <f t="shared" si="46"/>
        <v>-9734.77</v>
      </c>
      <c r="Y99" s="2"/>
      <c r="Z99" s="7">
        <f t="shared" si="47"/>
        <v>-0.79629043406420374</v>
      </c>
    </row>
    <row r="100" spans="1:26" s="28" customFormat="1" outlineLevel="1" collapsed="1" x14ac:dyDescent="0.25">
      <c r="A100" s="27"/>
      <c r="B100" s="14" t="str">
        <f>CONCATENATE("     ","Bad Debts/Over/Short                              ")</f>
        <v xml:space="preserve">     Bad Debts/Over/Short                              </v>
      </c>
      <c r="C100" s="14"/>
      <c r="D100" s="1">
        <f>SUM(OSRRefD22_3x_0)</f>
        <v>-10.06</v>
      </c>
      <c r="E100" s="1"/>
      <c r="F100" s="5">
        <f t="shared" si="40"/>
        <v>-2.1044667327321393E-5</v>
      </c>
      <c r="G100" s="1"/>
      <c r="H100" s="1">
        <f>SUM(OSRRefH22_3x_0)</f>
        <v>-1.23</v>
      </c>
      <c r="I100" s="1"/>
      <c r="J100" s="5">
        <f t="shared" si="41"/>
        <v>-1.0657657162751433E-5</v>
      </c>
      <c r="K100" s="1"/>
      <c r="L100" s="1">
        <f t="shared" si="42"/>
        <v>-8.83</v>
      </c>
      <c r="M100" s="1"/>
      <c r="N100" s="5">
        <f t="shared" si="43"/>
        <v>7.178861788617886</v>
      </c>
      <c r="O100" s="14"/>
      <c r="P100" s="1">
        <f>SUM(OSRRefP22_3x_0)</f>
        <v>-8.36</v>
      </c>
      <c r="Q100" s="1"/>
      <c r="R100" s="5">
        <f t="shared" si="44"/>
        <v>-6.091313629381279E-6</v>
      </c>
      <c r="S100" s="1"/>
      <c r="T100" s="1">
        <f>SUM(OSRRefT22_3x_0)</f>
        <v>-0.53</v>
      </c>
      <c r="U100" s="1"/>
      <c r="V100" s="5">
        <f t="shared" si="45"/>
        <v>-7.4124080634132908E-7</v>
      </c>
      <c r="W100" s="1"/>
      <c r="X100" s="1">
        <f t="shared" si="46"/>
        <v>-7.8299999999999992</v>
      </c>
      <c r="Y100" s="1"/>
      <c r="Z100" s="5">
        <f t="shared" si="47"/>
        <v>14.773584905660375</v>
      </c>
    </row>
    <row r="101" spans="1:26" s="24" customFormat="1" hidden="1" outlineLevel="2" x14ac:dyDescent="0.25">
      <c r="A101" s="29"/>
      <c r="B101" s="11" t="str">
        <f>CONCATENATE("          ", "6272", " - ", "CASH (OVER/SHORT)")</f>
        <v xml:space="preserve">          6272 - CASH (OVER/SHORT)</v>
      </c>
      <c r="C101" s="11"/>
      <c r="D101" s="6">
        <v>-10.06</v>
      </c>
      <c r="E101" s="2"/>
      <c r="F101" s="7">
        <f t="shared" si="40"/>
        <v>-2.1044667327321393E-5</v>
      </c>
      <c r="G101" s="2"/>
      <c r="H101" s="6">
        <v>-1.23</v>
      </c>
      <c r="I101" s="2"/>
      <c r="J101" s="7">
        <f t="shared" si="41"/>
        <v>-1.0657657162751433E-5</v>
      </c>
      <c r="K101" s="2"/>
      <c r="L101" s="6">
        <f t="shared" si="42"/>
        <v>-8.83</v>
      </c>
      <c r="M101" s="2"/>
      <c r="N101" s="7">
        <f t="shared" si="43"/>
        <v>7.178861788617886</v>
      </c>
      <c r="O101" s="11"/>
      <c r="P101" s="6">
        <v>-8.36</v>
      </c>
      <c r="Q101" s="2"/>
      <c r="R101" s="7">
        <f t="shared" si="44"/>
        <v>-6.091313629381279E-6</v>
      </c>
      <c r="S101" s="2"/>
      <c r="T101" s="6">
        <v>-0.53</v>
      </c>
      <c r="U101" s="2"/>
      <c r="V101" s="7">
        <f t="shared" si="45"/>
        <v>-7.4124080634132908E-7</v>
      </c>
      <c r="W101" s="2"/>
      <c r="X101" s="6">
        <f t="shared" si="46"/>
        <v>-7.8299999999999992</v>
      </c>
      <c r="Y101" s="2"/>
      <c r="Z101" s="7">
        <f t="shared" si="47"/>
        <v>14.773584905660375</v>
      </c>
    </row>
    <row r="102" spans="1:26" s="28" customFormat="1" outlineLevel="1" collapsed="1" x14ac:dyDescent="0.25">
      <c r="A102" s="27"/>
      <c r="B102" s="14" t="str">
        <f>CONCATENATE("     ","Bank/card Fees                                    ")</f>
        <v xml:space="preserve">     Bank/card Fees                                    </v>
      </c>
      <c r="C102" s="14"/>
      <c r="D102" s="1">
        <f>SUM(OSRRefD22_4x_0)</f>
        <v>419.96</v>
      </c>
      <c r="E102" s="1"/>
      <c r="F102" s="5">
        <f t="shared" si="40"/>
        <v>8.7852072472981027E-4</v>
      </c>
      <c r="G102" s="1"/>
      <c r="H102" s="1">
        <f>SUM(OSRRefH22_4x_0)</f>
        <v>291.5</v>
      </c>
      <c r="I102" s="1"/>
      <c r="J102" s="5">
        <f t="shared" si="41"/>
        <v>2.5257780999528804E-3</v>
      </c>
      <c r="K102" s="1"/>
      <c r="L102" s="1">
        <f t="shared" si="42"/>
        <v>128.45999999999998</v>
      </c>
      <c r="M102" s="1"/>
      <c r="N102" s="5">
        <f t="shared" si="43"/>
        <v>0.44068610634648364</v>
      </c>
      <c r="O102" s="14"/>
      <c r="P102" s="1">
        <f>SUM(OSRRefP22_4x_0)</f>
        <v>1921.94</v>
      </c>
      <c r="Q102" s="1"/>
      <c r="R102" s="5">
        <f t="shared" si="44"/>
        <v>1.4003755163699829E-3</v>
      </c>
      <c r="S102" s="1"/>
      <c r="T102" s="1">
        <f>SUM(OSRRefT22_4x_0)</f>
        <v>1357.67</v>
      </c>
      <c r="U102" s="1"/>
      <c r="V102" s="5">
        <f t="shared" si="45"/>
        <v>1.8987932180102496E-3</v>
      </c>
      <c r="W102" s="1"/>
      <c r="X102" s="1">
        <f t="shared" si="46"/>
        <v>564.27</v>
      </c>
      <c r="Y102" s="1"/>
      <c r="Z102" s="5">
        <f t="shared" si="47"/>
        <v>0.41561646055374279</v>
      </c>
    </row>
    <row r="103" spans="1:26" s="24" customFormat="1" hidden="1" outlineLevel="2" x14ac:dyDescent="0.25">
      <c r="A103" s="29"/>
      <c r="B103" s="11" t="str">
        <f>CONCATENATE("          ", "6381", " - ", "BANK/CREDIT CARD FEES")</f>
        <v xml:space="preserve">          6381 - BANK/CREDIT CARD FEES</v>
      </c>
      <c r="C103" s="11"/>
      <c r="D103" s="6">
        <v>419.96</v>
      </c>
      <c r="E103" s="2"/>
      <c r="F103" s="7">
        <f t="shared" si="40"/>
        <v>8.7852072472981027E-4</v>
      </c>
      <c r="G103" s="2"/>
      <c r="H103" s="6">
        <v>291.5</v>
      </c>
      <c r="I103" s="2"/>
      <c r="J103" s="7">
        <f t="shared" si="41"/>
        <v>2.5257780999528804E-3</v>
      </c>
      <c r="K103" s="2"/>
      <c r="L103" s="6">
        <f t="shared" si="42"/>
        <v>128.45999999999998</v>
      </c>
      <c r="M103" s="2"/>
      <c r="N103" s="7">
        <f t="shared" si="43"/>
        <v>0.44068610634648364</v>
      </c>
      <c r="O103" s="11"/>
      <c r="P103" s="6">
        <v>1921.94</v>
      </c>
      <c r="Q103" s="2"/>
      <c r="R103" s="7">
        <f t="shared" si="44"/>
        <v>1.4003755163699829E-3</v>
      </c>
      <c r="S103" s="2"/>
      <c r="T103" s="6">
        <v>1357.67</v>
      </c>
      <c r="U103" s="2"/>
      <c r="V103" s="7">
        <f t="shared" si="45"/>
        <v>1.8987932180102496E-3</v>
      </c>
      <c r="W103" s="2"/>
      <c r="X103" s="6">
        <f t="shared" si="46"/>
        <v>564.27</v>
      </c>
      <c r="Y103" s="2"/>
      <c r="Z103" s="7">
        <f t="shared" si="47"/>
        <v>0.41561646055374279</v>
      </c>
    </row>
    <row r="104" spans="1:26" s="28" customFormat="1" outlineLevel="1" collapsed="1" x14ac:dyDescent="0.25">
      <c r="A104" s="27"/>
      <c r="B104" s="14" t="str">
        <f>CONCATENATE("     ","Discounts and Markdowns                           ")</f>
        <v xml:space="preserve">     Discounts and Markdowns                           </v>
      </c>
      <c r="C104" s="14"/>
      <c r="D104" s="1">
        <f>SUM(OSRRefD22_5x_0)</f>
        <v>0</v>
      </c>
      <c r="E104" s="1"/>
      <c r="F104" s="5">
        <f t="shared" si="40"/>
        <v>0</v>
      </c>
      <c r="G104" s="1"/>
      <c r="H104" s="1">
        <f>SUM(OSRRefH22_5x_0)</f>
        <v>-830.95</v>
      </c>
      <c r="I104" s="1"/>
      <c r="J104" s="5">
        <f t="shared" si="41"/>
        <v>-7.199983918201874E-3</v>
      </c>
      <c r="K104" s="1"/>
      <c r="L104" s="1">
        <f t="shared" si="42"/>
        <v>830.95</v>
      </c>
      <c r="M104" s="1"/>
      <c r="N104" s="5">
        <f t="shared" si="43"/>
        <v>-1</v>
      </c>
      <c r="O104" s="14"/>
      <c r="P104" s="1">
        <f>SUM(OSRRefP22_5x_0)</f>
        <v>0</v>
      </c>
      <c r="Q104" s="1"/>
      <c r="R104" s="5">
        <f t="shared" si="44"/>
        <v>0</v>
      </c>
      <c r="S104" s="1"/>
      <c r="T104" s="1">
        <f>SUM(OSRRefT22_5x_0)</f>
        <v>0</v>
      </c>
      <c r="U104" s="1"/>
      <c r="V104" s="5">
        <f t="shared" si="45"/>
        <v>0</v>
      </c>
      <c r="W104" s="1"/>
      <c r="X104" s="1">
        <f t="shared" si="46"/>
        <v>0</v>
      </c>
      <c r="Y104" s="1"/>
      <c r="Z104" s="5">
        <f t="shared" si="47"/>
        <v>0</v>
      </c>
    </row>
    <row r="105" spans="1:26" s="24" customFormat="1" hidden="1" outlineLevel="2" x14ac:dyDescent="0.25">
      <c r="A105" s="29"/>
      <c r="B105" s="11" t="str">
        <f>CONCATENATE("          ", "6382", " - ", "DISCOUNTS/MARK DOWNS")</f>
        <v xml:space="preserve">          6382 - DISCOUNTS/MARK DOWNS</v>
      </c>
      <c r="C105" s="11"/>
      <c r="D105" s="6"/>
      <c r="E105" s="2"/>
      <c r="F105" s="7">
        <f t="shared" si="40"/>
        <v>0</v>
      </c>
      <c r="G105" s="2"/>
      <c r="H105" s="6">
        <v>-830.95</v>
      </c>
      <c r="I105" s="2"/>
      <c r="J105" s="7">
        <f t="shared" si="41"/>
        <v>-7.199983918201874E-3</v>
      </c>
      <c r="K105" s="2"/>
      <c r="L105" s="6">
        <f t="shared" si="42"/>
        <v>830.95</v>
      </c>
      <c r="M105" s="2"/>
      <c r="N105" s="7">
        <f t="shared" si="43"/>
        <v>-1</v>
      </c>
      <c r="O105" s="11"/>
      <c r="P105" s="6"/>
      <c r="Q105" s="2"/>
      <c r="R105" s="7">
        <f t="shared" si="44"/>
        <v>0</v>
      </c>
      <c r="S105" s="2"/>
      <c r="T105" s="6">
        <v>0</v>
      </c>
      <c r="U105" s="2"/>
      <c r="V105" s="7">
        <f t="shared" si="45"/>
        <v>0</v>
      </c>
      <c r="W105" s="2"/>
      <c r="X105" s="6">
        <f t="shared" si="46"/>
        <v>0</v>
      </c>
      <c r="Y105" s="2"/>
      <c r="Z105" s="7">
        <f t="shared" si="47"/>
        <v>0</v>
      </c>
    </row>
    <row r="106" spans="1:26" s="24" customFormat="1" hidden="1" outlineLevel="2" x14ac:dyDescent="0.25">
      <c r="A106" s="29"/>
      <c r="B106" s="11" t="str">
        <f>CONCATENATE("          ", "9175", " - ", "EARNED DISCOUNTS")</f>
        <v xml:space="preserve">          9175 - EARNED DISCOUNTS</v>
      </c>
      <c r="C106" s="11"/>
      <c r="D106" s="6">
        <v>0</v>
      </c>
      <c r="E106" s="2"/>
      <c r="F106" s="7">
        <f t="shared" si="40"/>
        <v>0</v>
      </c>
      <c r="G106" s="2"/>
      <c r="H106" s="6"/>
      <c r="I106" s="2"/>
      <c r="J106" s="7">
        <f t="shared" si="41"/>
        <v>0</v>
      </c>
      <c r="K106" s="2"/>
      <c r="L106" s="6">
        <f t="shared" si="42"/>
        <v>0</v>
      </c>
      <c r="M106" s="2"/>
      <c r="N106" s="7">
        <f t="shared" si="43"/>
        <v>0</v>
      </c>
      <c r="O106" s="11"/>
      <c r="P106" s="6">
        <v>0</v>
      </c>
      <c r="Q106" s="2"/>
      <c r="R106" s="7">
        <f t="shared" si="44"/>
        <v>0</v>
      </c>
      <c r="S106" s="2"/>
      <c r="T106" s="6"/>
      <c r="U106" s="2"/>
      <c r="V106" s="7">
        <f t="shared" si="45"/>
        <v>0</v>
      </c>
      <c r="W106" s="2"/>
      <c r="X106" s="6">
        <f t="shared" si="46"/>
        <v>0</v>
      </c>
      <c r="Y106" s="2"/>
      <c r="Z106" s="7">
        <f t="shared" si="47"/>
        <v>0</v>
      </c>
    </row>
    <row r="107" spans="1:26" s="28" customFormat="1" outlineLevel="1" collapsed="1" x14ac:dyDescent="0.25">
      <c r="A107" s="27"/>
      <c r="B107" s="14" t="str">
        <f>CONCATENATE("     ","Employees' Appreciation                           ")</f>
        <v xml:space="preserve">     Employees' Appreciation                           </v>
      </c>
      <c r="C107" s="14"/>
      <c r="D107" s="1">
        <f>SUM(OSRRefD22_6x_0)</f>
        <v>0</v>
      </c>
      <c r="E107" s="1"/>
      <c r="F107" s="5">
        <f t="shared" ref="F107:F111" si="48">IF(D$12=0,0,D107/D$12)</f>
        <v>0</v>
      </c>
      <c r="G107" s="1"/>
      <c r="H107" s="1">
        <f>SUM(OSRRefH22_6x_0)</f>
        <v>0</v>
      </c>
      <c r="I107" s="1"/>
      <c r="J107" s="5">
        <f t="shared" ref="J107:J111" si="49">IF(H$12=0,0,H107/H$12)</f>
        <v>0</v>
      </c>
      <c r="K107" s="1"/>
      <c r="L107" s="1">
        <f t="shared" ref="L107:L111" si="50">+D107-H107</f>
        <v>0</v>
      </c>
      <c r="M107" s="1"/>
      <c r="N107" s="5">
        <f t="shared" ref="N107:N111" si="51">IF(H107=0,0,L107/H107)</f>
        <v>0</v>
      </c>
      <c r="O107" s="14"/>
      <c r="P107" s="1">
        <f>SUM(OSRRefP22_6x_0)</f>
        <v>216.44</v>
      </c>
      <c r="Q107" s="1"/>
      <c r="R107" s="5">
        <f t="shared" ref="R107:R111" si="52">IF(P$12=0,0,P107/P$12)</f>
        <v>1.5770381841426843E-4</v>
      </c>
      <c r="S107" s="1"/>
      <c r="T107" s="1">
        <f>SUM(OSRRefT22_6x_0)</f>
        <v>0</v>
      </c>
      <c r="U107" s="1"/>
      <c r="V107" s="5">
        <f t="shared" ref="V107:V111" si="53">IF(T$12=0,0,T107/T$12)</f>
        <v>0</v>
      </c>
      <c r="W107" s="1"/>
      <c r="X107" s="1">
        <f t="shared" ref="X107:X111" si="54">+P107-T107</f>
        <v>216.44</v>
      </c>
      <c r="Y107" s="1"/>
      <c r="Z107" s="5">
        <f t="shared" ref="Z107:Z111" si="55">IF(T107=0,0,X107/T107)</f>
        <v>0</v>
      </c>
    </row>
    <row r="108" spans="1:26" s="24" customFormat="1" hidden="1" outlineLevel="2" x14ac:dyDescent="0.25">
      <c r="A108" s="29"/>
      <c r="B108" s="11" t="str">
        <f>CONCATENATE("          ", "6277", " - ", "EMPLOYEE APPRECIATION")</f>
        <v xml:space="preserve">          6277 - EMPLOYEE APPRECIATION</v>
      </c>
      <c r="C108" s="11"/>
      <c r="D108" s="6"/>
      <c r="E108" s="2"/>
      <c r="F108" s="7">
        <f t="shared" si="48"/>
        <v>0</v>
      </c>
      <c r="G108" s="2"/>
      <c r="H108" s="6"/>
      <c r="I108" s="2"/>
      <c r="J108" s="7">
        <f t="shared" si="49"/>
        <v>0</v>
      </c>
      <c r="K108" s="2"/>
      <c r="L108" s="6">
        <f t="shared" si="50"/>
        <v>0</v>
      </c>
      <c r="M108" s="2"/>
      <c r="N108" s="7">
        <f t="shared" si="51"/>
        <v>0</v>
      </c>
      <c r="O108" s="11"/>
      <c r="P108" s="6">
        <v>216.44</v>
      </c>
      <c r="Q108" s="2"/>
      <c r="R108" s="7">
        <f t="shared" si="52"/>
        <v>1.5770381841426843E-4</v>
      </c>
      <c r="S108" s="2"/>
      <c r="T108" s="6"/>
      <c r="U108" s="2"/>
      <c r="V108" s="7">
        <f t="shared" si="53"/>
        <v>0</v>
      </c>
      <c r="W108" s="2"/>
      <c r="X108" s="6">
        <f t="shared" si="54"/>
        <v>216.44</v>
      </c>
      <c r="Y108" s="2"/>
      <c r="Z108" s="7">
        <f t="shared" si="55"/>
        <v>0</v>
      </c>
    </row>
    <row r="109" spans="1:26" s="28" customFormat="1" outlineLevel="1" collapsed="1" x14ac:dyDescent="0.25">
      <c r="A109" s="27"/>
      <c r="B109" s="14" t="str">
        <f>CONCATENATE("     ","Freight out/Postage                               ")</f>
        <v xml:space="preserve">     Freight out/Postage                               </v>
      </c>
      <c r="C109" s="14"/>
      <c r="D109" s="1">
        <f>SUM(OSRRefD22_7x_0)</f>
        <v>19.82</v>
      </c>
      <c r="E109" s="1"/>
      <c r="F109" s="5">
        <f t="shared" si="48"/>
        <v>4.146176008225745E-5</v>
      </c>
      <c r="G109" s="1"/>
      <c r="H109" s="1">
        <f>SUM(OSRRefH22_7x_0)</f>
        <v>10.85</v>
      </c>
      <c r="I109" s="1"/>
      <c r="J109" s="5">
        <f t="shared" si="49"/>
        <v>9.4012666842156954E-5</v>
      </c>
      <c r="K109" s="1"/>
      <c r="L109" s="1">
        <f t="shared" si="50"/>
        <v>8.9700000000000006</v>
      </c>
      <c r="M109" s="1"/>
      <c r="N109" s="5">
        <f t="shared" si="51"/>
        <v>0.82672811059907847</v>
      </c>
      <c r="O109" s="14"/>
      <c r="P109" s="1">
        <f>SUM(OSRRefP22_7x_0)</f>
        <v>925.77</v>
      </c>
      <c r="Q109" s="1"/>
      <c r="R109" s="5">
        <f t="shared" si="52"/>
        <v>6.7454012185075448E-4</v>
      </c>
      <c r="S109" s="1"/>
      <c r="T109" s="1">
        <f>SUM(OSRRefT22_7x_0)</f>
        <v>91.96</v>
      </c>
      <c r="U109" s="1"/>
      <c r="V109" s="5">
        <f t="shared" si="53"/>
        <v>1.2861227273801626E-4</v>
      </c>
      <c r="W109" s="1"/>
      <c r="X109" s="1">
        <f t="shared" si="54"/>
        <v>833.81</v>
      </c>
      <c r="Y109" s="1"/>
      <c r="Z109" s="5">
        <f t="shared" si="55"/>
        <v>9.0670943888647244</v>
      </c>
    </row>
    <row r="110" spans="1:26" s="24" customFormat="1" hidden="1" outlineLevel="2" x14ac:dyDescent="0.25">
      <c r="A110" s="29"/>
      <c r="B110" s="11" t="str">
        <f>CONCATENATE("          ", "6305", " - ", "FREIGHT OUT")</f>
        <v xml:space="preserve">          6305 - FREIGHT OUT</v>
      </c>
      <c r="C110" s="11"/>
      <c r="D110" s="6">
        <v>19.82</v>
      </c>
      <c r="E110" s="2"/>
      <c r="F110" s="7">
        <f t="shared" si="48"/>
        <v>4.146176008225745E-5</v>
      </c>
      <c r="G110" s="2"/>
      <c r="H110" s="6">
        <v>10.85</v>
      </c>
      <c r="I110" s="2"/>
      <c r="J110" s="7">
        <f t="shared" si="49"/>
        <v>9.4012666842156954E-5</v>
      </c>
      <c r="K110" s="2"/>
      <c r="L110" s="6">
        <f t="shared" si="50"/>
        <v>8.9700000000000006</v>
      </c>
      <c r="M110" s="2"/>
      <c r="N110" s="7">
        <f t="shared" si="51"/>
        <v>0.82672811059907847</v>
      </c>
      <c r="O110" s="11"/>
      <c r="P110" s="6">
        <v>890.35</v>
      </c>
      <c r="Q110" s="2"/>
      <c r="R110" s="7">
        <f t="shared" si="52"/>
        <v>6.4873218778942849E-4</v>
      </c>
      <c r="S110" s="2"/>
      <c r="T110" s="6">
        <v>91.96</v>
      </c>
      <c r="U110" s="2"/>
      <c r="V110" s="7">
        <f t="shared" si="53"/>
        <v>1.2861227273801626E-4</v>
      </c>
      <c r="W110" s="2"/>
      <c r="X110" s="6">
        <f t="shared" si="54"/>
        <v>798.39</v>
      </c>
      <c r="Y110" s="2"/>
      <c r="Z110" s="7">
        <f t="shared" si="55"/>
        <v>8.6819269247498916</v>
      </c>
    </row>
    <row r="111" spans="1:26" s="24" customFormat="1" hidden="1" outlineLevel="2" x14ac:dyDescent="0.25">
      <c r="A111" s="29"/>
      <c r="B111" s="11" t="str">
        <f>CONCATENATE("          ", "6307", " - ", "POSTAGE")</f>
        <v xml:space="preserve">          6307 - POSTAGE</v>
      </c>
      <c r="C111" s="11"/>
      <c r="D111" s="6"/>
      <c r="E111" s="2"/>
      <c r="F111" s="7">
        <f t="shared" si="48"/>
        <v>0</v>
      </c>
      <c r="G111" s="2"/>
      <c r="H111" s="6"/>
      <c r="I111" s="2"/>
      <c r="J111" s="7">
        <f t="shared" si="49"/>
        <v>0</v>
      </c>
      <c r="K111" s="2"/>
      <c r="L111" s="6">
        <f t="shared" si="50"/>
        <v>0</v>
      </c>
      <c r="M111" s="2"/>
      <c r="N111" s="7">
        <f t="shared" si="51"/>
        <v>0</v>
      </c>
      <c r="O111" s="11"/>
      <c r="P111" s="6">
        <v>35.42</v>
      </c>
      <c r="Q111" s="2"/>
      <c r="R111" s="7">
        <f t="shared" si="52"/>
        <v>2.5807934061325948E-5</v>
      </c>
      <c r="S111" s="2"/>
      <c r="T111" s="6"/>
      <c r="U111" s="2"/>
      <c r="V111" s="7">
        <f t="shared" si="53"/>
        <v>0</v>
      </c>
      <c r="W111" s="2"/>
      <c r="X111" s="6">
        <f t="shared" si="54"/>
        <v>35.42</v>
      </c>
      <c r="Y111" s="2"/>
      <c r="Z111" s="7">
        <f t="shared" si="55"/>
        <v>0</v>
      </c>
    </row>
    <row r="112" spans="1:26" s="28" customFormat="1" outlineLevel="1" collapsed="1" x14ac:dyDescent="0.25">
      <c r="A112" s="27"/>
      <c r="B112" s="14" t="str">
        <f>CONCATENATE("     ","Insurance                                         ")</f>
        <v xml:space="preserve">     Insurance                                         </v>
      </c>
      <c r="C112" s="14"/>
      <c r="D112" s="1">
        <f>SUM(OSRRefD22_8x_0)</f>
        <v>219.08</v>
      </c>
      <c r="E112" s="1"/>
      <c r="F112" s="5">
        <f t="shared" ref="F112:F116" si="56">IF(D$12=0,0,D112/D$12)</f>
        <v>4.5829679106059351E-4</v>
      </c>
      <c r="G112" s="1"/>
      <c r="H112" s="1">
        <f>SUM(OSRRefH22_8x_0)</f>
        <v>161.18</v>
      </c>
      <c r="I112" s="1"/>
      <c r="J112" s="5">
        <f t="shared" ref="J112:J116" si="57">IF(H$12=0,0,H112/H$12)</f>
        <v>1.3965863264164848E-3</v>
      </c>
      <c r="K112" s="1"/>
      <c r="L112" s="1">
        <f t="shared" ref="L112:L116" si="58">+D112-H112</f>
        <v>57.900000000000006</v>
      </c>
      <c r="M112" s="1"/>
      <c r="N112" s="5">
        <f t="shared" ref="N112:N116" si="59">IF(H112=0,0,L112/H112)</f>
        <v>0.35922571038590395</v>
      </c>
      <c r="O112" s="14"/>
      <c r="P112" s="1">
        <f>SUM(OSRRefP22_8x_0)</f>
        <v>876.32</v>
      </c>
      <c r="Q112" s="1"/>
      <c r="R112" s="5">
        <f t="shared" ref="R112:R116" si="60">IF(P$12=0,0,P112/P$12)</f>
        <v>6.3850956455734488E-4</v>
      </c>
      <c r="S112" s="1"/>
      <c r="T112" s="1">
        <f>SUM(OSRRefT22_8x_0)</f>
        <v>644.72</v>
      </c>
      <c r="U112" s="1"/>
      <c r="V112" s="5">
        <f t="shared" ref="V112:V116" si="61">IF(T$12=0,0,T112/T$12)</f>
        <v>9.016844767252484E-4</v>
      </c>
      <c r="W112" s="1"/>
      <c r="X112" s="1">
        <f t="shared" ref="X112:X116" si="62">+P112-T112</f>
        <v>231.60000000000002</v>
      </c>
      <c r="Y112" s="1"/>
      <c r="Z112" s="5">
        <f t="shared" ref="Z112:Z116" si="63">IF(T112=0,0,X112/T112)</f>
        <v>0.35922571038590395</v>
      </c>
    </row>
    <row r="113" spans="1:26" s="24" customFormat="1" hidden="1" outlineLevel="2" x14ac:dyDescent="0.25">
      <c r="A113" s="29"/>
      <c r="B113" s="11" t="str">
        <f>CONCATENATE("          ", "6314", " - ", "LIABILITY INSURANCE")</f>
        <v xml:space="preserve">          6314 - LIABILITY INSURANCE</v>
      </c>
      <c r="C113" s="11"/>
      <c r="D113" s="6">
        <v>219.08</v>
      </c>
      <c r="E113" s="2"/>
      <c r="F113" s="7">
        <f t="shared" si="56"/>
        <v>4.5829679106059351E-4</v>
      </c>
      <c r="G113" s="2"/>
      <c r="H113" s="6">
        <v>161.18</v>
      </c>
      <c r="I113" s="2"/>
      <c r="J113" s="7">
        <f t="shared" si="57"/>
        <v>1.3965863264164848E-3</v>
      </c>
      <c r="K113" s="2"/>
      <c r="L113" s="6">
        <f t="shared" si="58"/>
        <v>57.900000000000006</v>
      </c>
      <c r="M113" s="2"/>
      <c r="N113" s="7">
        <f t="shared" si="59"/>
        <v>0.35922571038590395</v>
      </c>
      <c r="O113" s="11"/>
      <c r="P113" s="6">
        <v>876.32</v>
      </c>
      <c r="Q113" s="2"/>
      <c r="R113" s="7">
        <f t="shared" si="60"/>
        <v>6.3850956455734488E-4</v>
      </c>
      <c r="S113" s="2"/>
      <c r="T113" s="6">
        <v>644.72</v>
      </c>
      <c r="U113" s="2"/>
      <c r="V113" s="7">
        <f t="shared" si="61"/>
        <v>9.016844767252484E-4</v>
      </c>
      <c r="W113" s="2"/>
      <c r="X113" s="6">
        <f t="shared" si="62"/>
        <v>231.60000000000002</v>
      </c>
      <c r="Y113" s="2"/>
      <c r="Z113" s="7">
        <f t="shared" si="63"/>
        <v>0.35922571038590395</v>
      </c>
    </row>
    <row r="114" spans="1:26" s="28" customFormat="1" outlineLevel="1" collapsed="1" x14ac:dyDescent="0.25">
      <c r="A114" s="27"/>
      <c r="B114" s="14" t="str">
        <f>CONCATENATE("     ","Inventory Adjustment                              ")</f>
        <v xml:space="preserve">     Inventory Adjustment                              </v>
      </c>
      <c r="C114" s="14"/>
      <c r="D114" s="1">
        <f>SUM(OSRRefD22_9x_0)</f>
        <v>3450</v>
      </c>
      <c r="E114" s="1"/>
      <c r="F114" s="5">
        <f t="shared" si="56"/>
        <v>7.2171075824312919E-3</v>
      </c>
      <c r="G114" s="1"/>
      <c r="H114" s="1">
        <f>SUM(OSRRefH22_9x_0)</f>
        <v>1100</v>
      </c>
      <c r="I114" s="1"/>
      <c r="J114" s="5">
        <f t="shared" si="57"/>
        <v>9.5312381130297375E-3</v>
      </c>
      <c r="K114" s="1"/>
      <c r="L114" s="1">
        <f t="shared" si="58"/>
        <v>2350</v>
      </c>
      <c r="M114" s="1"/>
      <c r="N114" s="5">
        <f t="shared" si="59"/>
        <v>2.1363636363636362</v>
      </c>
      <c r="O114" s="14"/>
      <c r="P114" s="1">
        <f>SUM(OSRRefP22_9x_0)</f>
        <v>13800</v>
      </c>
      <c r="Q114" s="1"/>
      <c r="R114" s="5">
        <f t="shared" si="60"/>
        <v>1.0055039244672447E-2</v>
      </c>
      <c r="S114" s="1"/>
      <c r="T114" s="1">
        <f>SUM(OSRRefT22_9x_0)</f>
        <v>4400</v>
      </c>
      <c r="U114" s="1"/>
      <c r="V114" s="5">
        <f t="shared" si="61"/>
        <v>6.1536972601921652E-3</v>
      </c>
      <c r="W114" s="1"/>
      <c r="X114" s="1">
        <f t="shared" si="62"/>
        <v>9400</v>
      </c>
      <c r="Y114" s="1"/>
      <c r="Z114" s="5">
        <f t="shared" si="63"/>
        <v>2.1363636363636362</v>
      </c>
    </row>
    <row r="115" spans="1:26" s="24" customFormat="1" hidden="1" outlineLevel="2" x14ac:dyDescent="0.25">
      <c r="A115" s="29"/>
      <c r="B115" s="11" t="str">
        <f>CONCATENATE("          ", "6408", " - ", "INVENTORY ADJUSTMENT")</f>
        <v xml:space="preserve">          6408 - INVENTORY ADJUSTMENT</v>
      </c>
      <c r="C115" s="11"/>
      <c r="D115" s="6">
        <v>3450</v>
      </c>
      <c r="E115" s="2"/>
      <c r="F115" s="7">
        <f t="shared" si="56"/>
        <v>7.2171075824312919E-3</v>
      </c>
      <c r="G115" s="2"/>
      <c r="H115" s="6">
        <v>1100</v>
      </c>
      <c r="I115" s="2"/>
      <c r="J115" s="7">
        <f t="shared" si="57"/>
        <v>9.5312381130297375E-3</v>
      </c>
      <c r="K115" s="2"/>
      <c r="L115" s="6">
        <f t="shared" si="58"/>
        <v>2350</v>
      </c>
      <c r="M115" s="2"/>
      <c r="N115" s="7">
        <f t="shared" si="59"/>
        <v>2.1363636363636362</v>
      </c>
      <c r="O115" s="11"/>
      <c r="P115" s="6">
        <v>13800</v>
      </c>
      <c r="Q115" s="2"/>
      <c r="R115" s="7">
        <f t="shared" si="60"/>
        <v>1.0055039244672447E-2</v>
      </c>
      <c r="S115" s="2"/>
      <c r="T115" s="6">
        <v>4400</v>
      </c>
      <c r="U115" s="2"/>
      <c r="V115" s="7">
        <f t="shared" si="61"/>
        <v>6.1536972601921652E-3</v>
      </c>
      <c r="W115" s="2"/>
      <c r="X115" s="6">
        <f t="shared" si="62"/>
        <v>9400</v>
      </c>
      <c r="Y115" s="2"/>
      <c r="Z115" s="7">
        <f t="shared" si="63"/>
        <v>2.1363636363636362</v>
      </c>
    </row>
    <row r="116" spans="1:26" s="24" customFormat="1" hidden="1" outlineLevel="2" x14ac:dyDescent="0.25">
      <c r="A116" s="29"/>
      <c r="B116" s="11" t="str">
        <f>CONCATENATE("          ", "7741", " - ", "INV. SHRINKAGE-LOGO GIFTS")</f>
        <v xml:space="preserve">          7741 - INV. SHRINKAGE-LOGO GIFTS</v>
      </c>
      <c r="C116" s="11"/>
      <c r="D116" s="6"/>
      <c r="E116" s="2"/>
      <c r="F116" s="7">
        <f t="shared" si="56"/>
        <v>0</v>
      </c>
      <c r="G116" s="2"/>
      <c r="H116" s="6"/>
      <c r="I116" s="2"/>
      <c r="J116" s="7">
        <f t="shared" si="57"/>
        <v>0</v>
      </c>
      <c r="K116" s="2"/>
      <c r="L116" s="6">
        <f t="shared" si="58"/>
        <v>0</v>
      </c>
      <c r="M116" s="2"/>
      <c r="N116" s="7">
        <f t="shared" si="59"/>
        <v>0</v>
      </c>
      <c r="O116" s="11"/>
      <c r="P116" s="6"/>
      <c r="Q116" s="2"/>
      <c r="R116" s="7">
        <f t="shared" si="60"/>
        <v>0</v>
      </c>
      <c r="S116" s="2"/>
      <c r="T116" s="6">
        <v>0</v>
      </c>
      <c r="U116" s="2"/>
      <c r="V116" s="7">
        <f t="shared" si="61"/>
        <v>0</v>
      </c>
      <c r="W116" s="2"/>
      <c r="X116" s="6">
        <f t="shared" si="62"/>
        <v>0</v>
      </c>
      <c r="Y116" s="2"/>
      <c r="Z116" s="7">
        <f t="shared" si="63"/>
        <v>0</v>
      </c>
    </row>
    <row r="117" spans="1:26" s="28" customFormat="1" outlineLevel="1" collapsed="1" x14ac:dyDescent="0.25">
      <c r="A117" s="27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SUM(OSRRefD22_10x_0)</f>
        <v>669.1</v>
      </c>
      <c r="E117" s="1"/>
      <c r="F117" s="5">
        <f t="shared" ref="F117:F124" si="64">IF(D$12=0,0,D117/D$12)</f>
        <v>1.3997004879434138E-3</v>
      </c>
      <c r="G117" s="1"/>
      <c r="H117" s="1">
        <f>SUM(OSRRefH22_10x_0)</f>
        <v>0</v>
      </c>
      <c r="I117" s="1"/>
      <c r="J117" s="5">
        <f t="shared" ref="J117:J124" si="65">IF(H$12=0,0,H117/H$12)</f>
        <v>0</v>
      </c>
      <c r="K117" s="1"/>
      <c r="L117" s="1">
        <f t="shared" ref="L117:L124" si="66">+D117-H117</f>
        <v>669.1</v>
      </c>
      <c r="M117" s="1"/>
      <c r="N117" s="5">
        <f t="shared" ref="N117:N124" si="67">IF(H117=0,0,L117/H117)</f>
        <v>0</v>
      </c>
      <c r="O117" s="14"/>
      <c r="P117" s="1">
        <f>SUM(OSRRefP22_10x_0)</f>
        <v>669.1</v>
      </c>
      <c r="Q117" s="1"/>
      <c r="R117" s="5">
        <f t="shared" ref="R117:R124" si="68">IF(P$12=0,0,P117/P$12)</f>
        <v>4.875236781601692E-4</v>
      </c>
      <c r="S117" s="1"/>
      <c r="T117" s="1">
        <f>SUM(OSRRefT22_10x_0)</f>
        <v>0</v>
      </c>
      <c r="U117" s="1"/>
      <c r="V117" s="5">
        <f t="shared" ref="V117:V124" si="69">IF(T$12=0,0,T117/T$12)</f>
        <v>0</v>
      </c>
      <c r="W117" s="1"/>
      <c r="X117" s="1">
        <f t="shared" ref="X117:X124" si="70">+P117-T117</f>
        <v>669.1</v>
      </c>
      <c r="Y117" s="1"/>
      <c r="Z117" s="5">
        <f t="shared" ref="Z117:Z124" si="71">IF(T117=0,0,X117/T117)</f>
        <v>0</v>
      </c>
    </row>
    <row r="118" spans="1:26" s="24" customFormat="1" hidden="1" outlineLevel="2" x14ac:dyDescent="0.25">
      <c r="A118" s="29"/>
      <c r="B118" s="11" t="str">
        <f>CONCATENATE("          ", "6336", " - ", "PROFESSIONAL SERVICES")</f>
        <v xml:space="preserve">          6336 - PROFESSIONAL SERVICES</v>
      </c>
      <c r="C118" s="11"/>
      <c r="D118" s="6">
        <v>669.1</v>
      </c>
      <c r="E118" s="2"/>
      <c r="F118" s="7">
        <f t="shared" si="64"/>
        <v>1.3997004879434138E-3</v>
      </c>
      <c r="G118" s="2"/>
      <c r="H118" s="6"/>
      <c r="I118" s="2"/>
      <c r="J118" s="7">
        <f t="shared" si="65"/>
        <v>0</v>
      </c>
      <c r="K118" s="2"/>
      <c r="L118" s="6">
        <f t="shared" si="66"/>
        <v>669.1</v>
      </c>
      <c r="M118" s="2"/>
      <c r="N118" s="7">
        <f t="shared" si="67"/>
        <v>0</v>
      </c>
      <c r="O118" s="11"/>
      <c r="P118" s="6">
        <v>669.1</v>
      </c>
      <c r="Q118" s="2"/>
      <c r="R118" s="7">
        <f t="shared" si="68"/>
        <v>4.875236781601692E-4</v>
      </c>
      <c r="S118" s="2"/>
      <c r="T118" s="6"/>
      <c r="U118" s="2"/>
      <c r="V118" s="7">
        <f t="shared" si="69"/>
        <v>0</v>
      </c>
      <c r="W118" s="2"/>
      <c r="X118" s="6">
        <f t="shared" si="70"/>
        <v>669.1</v>
      </c>
      <c r="Y118" s="2"/>
      <c r="Z118" s="7">
        <f t="shared" si="71"/>
        <v>0</v>
      </c>
    </row>
    <row r="119" spans="1:26" s="28" customFormat="1" outlineLevel="1" collapsed="1" x14ac:dyDescent="0.25">
      <c r="A119" s="27"/>
      <c r="B119" s="14" t="str">
        <f>CONCATENATE("     ","Rent                                              ")</f>
        <v xml:space="preserve">     Rent                                              </v>
      </c>
      <c r="C119" s="14"/>
      <c r="D119" s="1">
        <f>SUM(OSRRefD22_11x_0)</f>
        <v>6900</v>
      </c>
      <c r="E119" s="1"/>
      <c r="F119" s="5">
        <f t="shared" si="64"/>
        <v>1.4434215164862584E-2</v>
      </c>
      <c r="G119" s="1"/>
      <c r="H119" s="1">
        <f>SUM(OSRRefH22_11x_0)</f>
        <v>6900</v>
      </c>
      <c r="I119" s="1"/>
      <c r="J119" s="5">
        <f t="shared" si="65"/>
        <v>5.9786857254459265E-2</v>
      </c>
      <c r="K119" s="1"/>
      <c r="L119" s="1">
        <f t="shared" si="66"/>
        <v>0</v>
      </c>
      <c r="M119" s="1"/>
      <c r="N119" s="5">
        <f t="shared" si="67"/>
        <v>0</v>
      </c>
      <c r="O119" s="14"/>
      <c r="P119" s="1">
        <f>SUM(OSRRefP22_11x_0)</f>
        <v>27600</v>
      </c>
      <c r="Q119" s="1"/>
      <c r="R119" s="5">
        <f t="shared" si="68"/>
        <v>2.0110078489344894E-2</v>
      </c>
      <c r="S119" s="1"/>
      <c r="T119" s="1">
        <f>SUM(OSRRefT22_11x_0)</f>
        <v>27600</v>
      </c>
      <c r="U119" s="1"/>
      <c r="V119" s="5">
        <f t="shared" si="69"/>
        <v>3.8600464632114494E-2</v>
      </c>
      <c r="W119" s="1"/>
      <c r="X119" s="1">
        <f t="shared" si="70"/>
        <v>0</v>
      </c>
      <c r="Y119" s="1"/>
      <c r="Z119" s="5">
        <f t="shared" si="71"/>
        <v>0</v>
      </c>
    </row>
    <row r="120" spans="1:26" s="24" customFormat="1" hidden="1" outlineLevel="2" x14ac:dyDescent="0.25">
      <c r="A120" s="29"/>
      <c r="B120" s="11" t="str">
        <f>CONCATENATE("          ", "6273", " - ", "RENT")</f>
        <v xml:space="preserve">          6273 - RENT</v>
      </c>
      <c r="C120" s="11"/>
      <c r="D120" s="6">
        <v>6900</v>
      </c>
      <c r="E120" s="2"/>
      <c r="F120" s="7">
        <f t="shared" si="64"/>
        <v>1.4434215164862584E-2</v>
      </c>
      <c r="G120" s="2"/>
      <c r="H120" s="6">
        <v>6900</v>
      </c>
      <c r="I120" s="2"/>
      <c r="J120" s="7">
        <f t="shared" si="65"/>
        <v>5.9786857254459265E-2</v>
      </c>
      <c r="K120" s="2"/>
      <c r="L120" s="6">
        <f t="shared" si="66"/>
        <v>0</v>
      </c>
      <c r="M120" s="2"/>
      <c r="N120" s="7">
        <f t="shared" si="67"/>
        <v>0</v>
      </c>
      <c r="O120" s="11"/>
      <c r="P120" s="6">
        <v>27600</v>
      </c>
      <c r="Q120" s="2"/>
      <c r="R120" s="7">
        <f t="shared" si="68"/>
        <v>2.0110078489344894E-2</v>
      </c>
      <c r="S120" s="2"/>
      <c r="T120" s="6">
        <v>27600</v>
      </c>
      <c r="U120" s="2"/>
      <c r="V120" s="7">
        <f t="shared" si="69"/>
        <v>3.8600464632114494E-2</v>
      </c>
      <c r="W120" s="2"/>
      <c r="X120" s="6">
        <f t="shared" si="70"/>
        <v>0</v>
      </c>
      <c r="Y120" s="2"/>
      <c r="Z120" s="7">
        <f t="shared" si="71"/>
        <v>0</v>
      </c>
    </row>
    <row r="121" spans="1:26" s="28" customFormat="1" outlineLevel="1" collapsed="1" x14ac:dyDescent="0.25">
      <c r="A121" s="27"/>
      <c r="B121" s="14" t="str">
        <f>CONCATENATE("     ","Repair and Maintenance                            ")</f>
        <v xml:space="preserve">     Repair and Maintenance                            </v>
      </c>
      <c r="C121" s="14"/>
      <c r="D121" s="1">
        <f>SUM(OSRRefD22_12x_0)</f>
        <v>0</v>
      </c>
      <c r="E121" s="1"/>
      <c r="F121" s="5">
        <f t="shared" si="64"/>
        <v>0</v>
      </c>
      <c r="G121" s="1"/>
      <c r="H121" s="1">
        <f>SUM(OSRRefH22_12x_0)</f>
        <v>0</v>
      </c>
      <c r="I121" s="1"/>
      <c r="J121" s="5">
        <f t="shared" si="65"/>
        <v>0</v>
      </c>
      <c r="K121" s="1"/>
      <c r="L121" s="1">
        <f t="shared" si="66"/>
        <v>0</v>
      </c>
      <c r="M121" s="1"/>
      <c r="N121" s="5">
        <f t="shared" si="67"/>
        <v>0</v>
      </c>
      <c r="O121" s="14"/>
      <c r="P121" s="1">
        <f>SUM(OSRRefP22_12x_0)</f>
        <v>1012.96</v>
      </c>
      <c r="Q121" s="1"/>
      <c r="R121" s="5">
        <f t="shared" si="68"/>
        <v>7.3806902560024658E-4</v>
      </c>
      <c r="S121" s="1"/>
      <c r="T121" s="1">
        <f>SUM(OSRRefT22_12x_0)</f>
        <v>48.21</v>
      </c>
      <c r="U121" s="1"/>
      <c r="V121" s="5">
        <f t="shared" si="69"/>
        <v>6.7424942025878253E-5</v>
      </c>
      <c r="W121" s="1"/>
      <c r="X121" s="1">
        <f t="shared" si="70"/>
        <v>964.75</v>
      </c>
      <c r="Y121" s="1"/>
      <c r="Z121" s="5">
        <f t="shared" si="71"/>
        <v>20.011408421489318</v>
      </c>
    </row>
    <row r="122" spans="1:26" s="24" customFormat="1" hidden="1" outlineLevel="2" x14ac:dyDescent="0.25">
      <c r="A122" s="29"/>
      <c r="B122" s="11" t="str">
        <f>CONCATENATE("          ", "6372", " - ", "COMPUTER HARDWARE MAINTENANCE")</f>
        <v xml:space="preserve">          6372 - COMPUTER HARDWARE MAINTENANCE</v>
      </c>
      <c r="C122" s="11"/>
      <c r="D122" s="6"/>
      <c r="E122" s="2"/>
      <c r="F122" s="7">
        <f t="shared" si="64"/>
        <v>0</v>
      </c>
      <c r="G122" s="2"/>
      <c r="H122" s="6">
        <v>0</v>
      </c>
      <c r="I122" s="2"/>
      <c r="J122" s="7">
        <f t="shared" si="65"/>
        <v>0</v>
      </c>
      <c r="K122" s="2"/>
      <c r="L122" s="6">
        <f t="shared" si="66"/>
        <v>0</v>
      </c>
      <c r="M122" s="2"/>
      <c r="N122" s="7">
        <f t="shared" si="67"/>
        <v>0</v>
      </c>
      <c r="O122" s="11"/>
      <c r="P122" s="6"/>
      <c r="Q122" s="2"/>
      <c r="R122" s="7">
        <f t="shared" si="68"/>
        <v>0</v>
      </c>
      <c r="S122" s="2"/>
      <c r="T122" s="6">
        <v>0</v>
      </c>
      <c r="U122" s="2"/>
      <c r="V122" s="7">
        <f t="shared" si="69"/>
        <v>0</v>
      </c>
      <c r="W122" s="2"/>
      <c r="X122" s="6">
        <f t="shared" si="70"/>
        <v>0</v>
      </c>
      <c r="Y122" s="2"/>
      <c r="Z122" s="7">
        <f t="shared" si="71"/>
        <v>0</v>
      </c>
    </row>
    <row r="123" spans="1:26" s="24" customFormat="1" hidden="1" outlineLevel="2" x14ac:dyDescent="0.25">
      <c r="A123" s="29"/>
      <c r="B123" s="11" t="str">
        <f>CONCATENATE("          ", "6373", " - ", "MAINTENANCE CONTRACTS")</f>
        <v xml:space="preserve">          6373 - MAINTENANCE CONTRACTS</v>
      </c>
      <c r="C123" s="11"/>
      <c r="D123" s="6"/>
      <c r="E123" s="2"/>
      <c r="F123" s="7">
        <f t="shared" si="64"/>
        <v>0</v>
      </c>
      <c r="G123" s="2"/>
      <c r="H123" s="6"/>
      <c r="I123" s="2"/>
      <c r="J123" s="7">
        <f t="shared" si="65"/>
        <v>0</v>
      </c>
      <c r="K123" s="2"/>
      <c r="L123" s="6">
        <f t="shared" si="66"/>
        <v>0</v>
      </c>
      <c r="M123" s="2"/>
      <c r="N123" s="7">
        <f t="shared" si="67"/>
        <v>0</v>
      </c>
      <c r="O123" s="11"/>
      <c r="P123" s="6">
        <v>236.6</v>
      </c>
      <c r="Q123" s="2"/>
      <c r="R123" s="7">
        <f t="shared" si="68"/>
        <v>1.7239291922387689E-4</v>
      </c>
      <c r="S123" s="2"/>
      <c r="T123" s="6">
        <v>48.21</v>
      </c>
      <c r="U123" s="2"/>
      <c r="V123" s="7">
        <f t="shared" si="69"/>
        <v>6.7424942025878253E-5</v>
      </c>
      <c r="W123" s="2"/>
      <c r="X123" s="6">
        <f t="shared" si="70"/>
        <v>188.39</v>
      </c>
      <c r="Y123" s="2"/>
      <c r="Z123" s="7">
        <f t="shared" si="71"/>
        <v>3.9076954988591575</v>
      </c>
    </row>
    <row r="124" spans="1:26" s="24" customFormat="1" hidden="1" outlineLevel="2" x14ac:dyDescent="0.25">
      <c r="A124" s="29"/>
      <c r="B124" s="11" t="str">
        <f>CONCATENATE("          ", "6375", " - ", "OUTSIDE REPAIRS &amp; MAINTENANCE")</f>
        <v xml:space="preserve">          6375 - OUTSIDE REPAIRS &amp; MAINTENANCE</v>
      </c>
      <c r="C124" s="11"/>
      <c r="D124" s="6"/>
      <c r="E124" s="2"/>
      <c r="F124" s="7">
        <f t="shared" si="64"/>
        <v>0</v>
      </c>
      <c r="G124" s="2"/>
      <c r="H124" s="6"/>
      <c r="I124" s="2"/>
      <c r="J124" s="7">
        <f t="shared" si="65"/>
        <v>0</v>
      </c>
      <c r="K124" s="2"/>
      <c r="L124" s="6">
        <f t="shared" si="66"/>
        <v>0</v>
      </c>
      <c r="M124" s="2"/>
      <c r="N124" s="7">
        <f t="shared" si="67"/>
        <v>0</v>
      </c>
      <c r="O124" s="11"/>
      <c r="P124" s="6">
        <v>776.36</v>
      </c>
      <c r="Q124" s="2"/>
      <c r="R124" s="7">
        <f t="shared" si="68"/>
        <v>5.6567610637636972E-4</v>
      </c>
      <c r="S124" s="2"/>
      <c r="T124" s="6"/>
      <c r="U124" s="2"/>
      <c r="V124" s="7">
        <f t="shared" si="69"/>
        <v>0</v>
      </c>
      <c r="W124" s="2"/>
      <c r="X124" s="6">
        <f t="shared" si="70"/>
        <v>776.36</v>
      </c>
      <c r="Y124" s="2"/>
      <c r="Z124" s="7">
        <f t="shared" si="71"/>
        <v>0</v>
      </c>
    </row>
    <row r="125" spans="1:26" s="28" customFormat="1" outlineLevel="1" collapsed="1" x14ac:dyDescent="0.25">
      <c r="A125" s="27"/>
      <c r="B125" s="14" t="str">
        <f>CONCATENATE("     ","Royalty &amp; Commissions                             ")</f>
        <v xml:space="preserve">     Royalty &amp; Commissions                             </v>
      </c>
      <c r="C125" s="14"/>
      <c r="D125" s="1">
        <f>SUM(OSRRefD22_13x_0)</f>
        <v>8783.75</v>
      </c>
      <c r="E125" s="1"/>
      <c r="F125" s="5">
        <f t="shared" ref="F125:F127" si="72">IF(D$12=0,0,D125/D$12)</f>
        <v>1.8374860500632133E-2</v>
      </c>
      <c r="G125" s="1"/>
      <c r="H125" s="1">
        <f>SUM(OSRRefH22_13x_0)</f>
        <v>10489.6</v>
      </c>
      <c r="I125" s="1"/>
      <c r="J125" s="5">
        <f t="shared" ref="J125:J127" si="73">IF(H$12=0,0,H125/H$12)</f>
        <v>9.0889886645851584E-2</v>
      </c>
      <c r="K125" s="1"/>
      <c r="L125" s="1">
        <f t="shared" ref="L125:L127" si="74">+D125-H125</f>
        <v>-1705.8500000000004</v>
      </c>
      <c r="M125" s="1"/>
      <c r="N125" s="5">
        <f t="shared" ref="N125:N127" si="75">IF(H125=0,0,L125/H125)</f>
        <v>-0.16262297895057964</v>
      </c>
      <c r="O125" s="14"/>
      <c r="P125" s="1">
        <f>SUM(OSRRefP22_13x_0)</f>
        <v>16132.79</v>
      </c>
      <c r="Q125" s="1"/>
      <c r="R125" s="5">
        <f t="shared" ref="R125:R127" si="76">IF(P$12=0,0,P125/P$12)</f>
        <v>1.1754770766381102E-2</v>
      </c>
      <c r="S125" s="1"/>
      <c r="T125" s="1">
        <f>SUM(OSRRefT22_13x_0)</f>
        <v>18411.8</v>
      </c>
      <c r="U125" s="1"/>
      <c r="V125" s="5">
        <f t="shared" ref="V125:V127" si="77">IF(T$12=0,0,T125/T$12)</f>
        <v>2.5750146185274117E-2</v>
      </c>
      <c r="W125" s="1"/>
      <c r="X125" s="1">
        <f t="shared" ref="X125:X127" si="78">+P125-T125</f>
        <v>-2279.0099999999984</v>
      </c>
      <c r="Y125" s="1"/>
      <c r="Z125" s="5">
        <f t="shared" ref="Z125:Z127" si="79">IF(T125=0,0,X125/T125)</f>
        <v>-0.12377985856896112</v>
      </c>
    </row>
    <row r="126" spans="1:26" s="24" customFormat="1" hidden="1" outlineLevel="2" x14ac:dyDescent="0.25">
      <c r="A126" s="29"/>
      <c r="B126" s="11" t="str">
        <f>CONCATENATE("          ", "6253", " - ", "ROYALTY DUE ATHLETICS-LRG")</f>
        <v xml:space="preserve">          6253 - ROYALTY DUE ATHLETICS-LRG</v>
      </c>
      <c r="C126" s="11"/>
      <c r="D126" s="6">
        <v>8783.75</v>
      </c>
      <c r="E126" s="2"/>
      <c r="F126" s="7">
        <f t="shared" si="72"/>
        <v>1.8374860500632133E-2</v>
      </c>
      <c r="G126" s="2"/>
      <c r="H126" s="6">
        <v>10489.6</v>
      </c>
      <c r="I126" s="2"/>
      <c r="J126" s="7">
        <f t="shared" si="73"/>
        <v>9.0889886645851584E-2</v>
      </c>
      <c r="K126" s="2"/>
      <c r="L126" s="6">
        <f t="shared" si="74"/>
        <v>-1705.8500000000004</v>
      </c>
      <c r="M126" s="2"/>
      <c r="N126" s="7">
        <f t="shared" si="75"/>
        <v>-0.16262297895057964</v>
      </c>
      <c r="O126" s="11"/>
      <c r="P126" s="6">
        <v>23160.29</v>
      </c>
      <c r="Q126" s="2"/>
      <c r="R126" s="7">
        <f t="shared" si="76"/>
        <v>1.6875190207825713E-2</v>
      </c>
      <c r="S126" s="2"/>
      <c r="T126" s="6">
        <v>18411.8</v>
      </c>
      <c r="U126" s="2"/>
      <c r="V126" s="7">
        <f t="shared" si="77"/>
        <v>2.5750146185274117E-2</v>
      </c>
      <c r="W126" s="2"/>
      <c r="X126" s="6">
        <f t="shared" si="78"/>
        <v>4748.4900000000016</v>
      </c>
      <c r="Y126" s="2"/>
      <c r="Z126" s="7">
        <f t="shared" si="79"/>
        <v>0.25790471328169989</v>
      </c>
    </row>
    <row r="127" spans="1:26" s="24" customFormat="1" hidden="1" outlineLevel="2" x14ac:dyDescent="0.25">
      <c r="A127" s="29"/>
      <c r="B127" s="11" t="str">
        <f>CONCATENATE("          ", "6254", " - ", "ROYALTY &amp; COMMISSIONS")</f>
        <v xml:space="preserve">          6254 - ROYALTY &amp; COMMISSIONS</v>
      </c>
      <c r="C127" s="11"/>
      <c r="D127" s="6"/>
      <c r="E127" s="2"/>
      <c r="F127" s="7">
        <f t="shared" si="72"/>
        <v>0</v>
      </c>
      <c r="G127" s="2"/>
      <c r="H127" s="6"/>
      <c r="I127" s="2"/>
      <c r="J127" s="7">
        <f t="shared" si="73"/>
        <v>0</v>
      </c>
      <c r="K127" s="2"/>
      <c r="L127" s="6">
        <f t="shared" si="74"/>
        <v>0</v>
      </c>
      <c r="M127" s="2"/>
      <c r="N127" s="7">
        <f t="shared" si="75"/>
        <v>0</v>
      </c>
      <c r="O127" s="11"/>
      <c r="P127" s="6">
        <v>-7027.5</v>
      </c>
      <c r="Q127" s="2"/>
      <c r="R127" s="7">
        <f t="shared" si="76"/>
        <v>-5.1204194414446102E-3</v>
      </c>
      <c r="S127" s="2"/>
      <c r="T127" s="6"/>
      <c r="U127" s="2"/>
      <c r="V127" s="7">
        <f t="shared" si="77"/>
        <v>0</v>
      </c>
      <c r="W127" s="2"/>
      <c r="X127" s="6">
        <f t="shared" si="78"/>
        <v>-7027.5</v>
      </c>
      <c r="Y127" s="2"/>
      <c r="Z127" s="7">
        <f t="shared" si="79"/>
        <v>0</v>
      </c>
    </row>
    <row r="128" spans="1:26" s="28" customFormat="1" outlineLevel="1" collapsed="1" x14ac:dyDescent="0.25">
      <c r="A128" s="27"/>
      <c r="B128" s="14" t="str">
        <f>CONCATENATE("     ","Services                                          ")</f>
        <v xml:space="preserve">     Services                                          </v>
      </c>
      <c r="C128" s="14"/>
      <c r="D128" s="1">
        <f>SUM(OSRRefD22_14x_0)</f>
        <v>162.72</v>
      </c>
      <c r="E128" s="1"/>
      <c r="F128" s="5">
        <f t="shared" ref="F128:F130" si="80">IF(D$12=0,0,D128/D$12)</f>
        <v>3.4039644806180285E-4</v>
      </c>
      <c r="G128" s="1"/>
      <c r="H128" s="1">
        <f>SUM(OSRRefH22_14x_0)</f>
        <v>96.860000000000014</v>
      </c>
      <c r="I128" s="1"/>
      <c r="J128" s="5">
        <f t="shared" ref="J128:J130" si="81">IF(H$12=0,0,H128/H$12)</f>
        <v>8.3926883966187324E-4</v>
      </c>
      <c r="K128" s="1"/>
      <c r="L128" s="1">
        <f t="shared" ref="L128:L130" si="82">+D128-H128</f>
        <v>65.859999999999985</v>
      </c>
      <c r="M128" s="1"/>
      <c r="N128" s="5">
        <f t="shared" ref="N128:N130" si="83">IF(H128=0,0,L128/H128)</f>
        <v>0.67995044393970649</v>
      </c>
      <c r="O128" s="14"/>
      <c r="P128" s="1">
        <f>SUM(OSRRefP22_14x_0)</f>
        <v>643.75</v>
      </c>
      <c r="Q128" s="1"/>
      <c r="R128" s="5">
        <f t="shared" ref="R128:R130" si="84">IF(P$12=0,0,P128/P$12)</f>
        <v>4.6905300824332522E-4</v>
      </c>
      <c r="S128" s="1"/>
      <c r="T128" s="1">
        <f>SUM(OSRRefT22_14x_0)</f>
        <v>-12.170000000000073</v>
      </c>
      <c r="U128" s="1"/>
      <c r="V128" s="5">
        <f t="shared" ref="V128:V130" si="85">IF(T$12=0,0,T128/T$12)</f>
        <v>-1.7020567194667979E-5</v>
      </c>
      <c r="W128" s="1"/>
      <c r="X128" s="1">
        <f t="shared" ref="X128:X130" si="86">+P128-T128</f>
        <v>655.92000000000007</v>
      </c>
      <c r="Y128" s="1"/>
      <c r="Z128" s="5">
        <f t="shared" ref="Z128:Z130" si="87">IF(T128=0,0,X128/T128)</f>
        <v>-53.896466721445861</v>
      </c>
    </row>
    <row r="129" spans="1:26" s="24" customFormat="1" hidden="1" outlineLevel="2" x14ac:dyDescent="0.25">
      <c r="A129" s="29"/>
      <c r="B129" s="11" t="str">
        <f>CONCATENATE("          ", "6284", " - ", "TRASH REMOVAL EXPENSE")</f>
        <v xml:space="preserve">          6284 - TRASH REMOVAL EXPENSE</v>
      </c>
      <c r="C129" s="11"/>
      <c r="D129" s="6">
        <v>149.69999999999999</v>
      </c>
      <c r="E129" s="2"/>
      <c r="F129" s="7">
        <f t="shared" si="80"/>
        <v>3.131597116202795E-4</v>
      </c>
      <c r="G129" s="2"/>
      <c r="H129" s="6">
        <v>157.59</v>
      </c>
      <c r="I129" s="2"/>
      <c r="J129" s="7">
        <f t="shared" si="81"/>
        <v>1.365479831120324E-3</v>
      </c>
      <c r="K129" s="2"/>
      <c r="L129" s="6">
        <f t="shared" si="82"/>
        <v>-7.8900000000000148</v>
      </c>
      <c r="M129" s="2"/>
      <c r="N129" s="7">
        <f t="shared" si="83"/>
        <v>-5.0066628593184941E-2</v>
      </c>
      <c r="O129" s="11"/>
      <c r="P129" s="6">
        <v>591.66999999999996</v>
      </c>
      <c r="Q129" s="2"/>
      <c r="R129" s="7">
        <f t="shared" si="84"/>
        <v>4.3110616448517006E-4</v>
      </c>
      <c r="S129" s="2"/>
      <c r="T129" s="6">
        <v>585.29999999999995</v>
      </c>
      <c r="U129" s="2"/>
      <c r="V129" s="7">
        <f t="shared" si="85"/>
        <v>8.1858159236147137E-4</v>
      </c>
      <c r="W129" s="2"/>
      <c r="X129" s="6">
        <f t="shared" si="86"/>
        <v>6.3700000000000045</v>
      </c>
      <c r="Y129" s="2"/>
      <c r="Z129" s="7">
        <f t="shared" si="87"/>
        <v>1.0883307705450205E-2</v>
      </c>
    </row>
    <row r="130" spans="1:26" s="24" customFormat="1" hidden="1" outlineLevel="2" x14ac:dyDescent="0.25">
      <c r="A130" s="29"/>
      <c r="B130" s="11" t="str">
        <f>CONCATENATE("          ", "6285", " - ", "JANITORIAL SERVICES")</f>
        <v xml:space="preserve">          6285 - JANITORIAL SERVICES</v>
      </c>
      <c r="C130" s="11"/>
      <c r="D130" s="6">
        <v>13.02</v>
      </c>
      <c r="E130" s="2"/>
      <c r="F130" s="7">
        <f t="shared" si="80"/>
        <v>2.7236736441523311E-5</v>
      </c>
      <c r="G130" s="2"/>
      <c r="H130" s="6">
        <v>-60.73</v>
      </c>
      <c r="I130" s="2"/>
      <c r="J130" s="7">
        <f t="shared" si="81"/>
        <v>-5.2621099145845087E-4</v>
      </c>
      <c r="K130" s="2"/>
      <c r="L130" s="6">
        <f t="shared" si="82"/>
        <v>73.75</v>
      </c>
      <c r="M130" s="2"/>
      <c r="N130" s="7">
        <f t="shared" si="83"/>
        <v>-1.2143915692409024</v>
      </c>
      <c r="O130" s="11"/>
      <c r="P130" s="6">
        <v>52.08</v>
      </c>
      <c r="Q130" s="2"/>
      <c r="R130" s="7">
        <f t="shared" si="84"/>
        <v>3.7946843758155147E-5</v>
      </c>
      <c r="S130" s="2"/>
      <c r="T130" s="6">
        <v>-597.47</v>
      </c>
      <c r="U130" s="2"/>
      <c r="V130" s="7">
        <f t="shared" si="85"/>
        <v>-8.3560215955613942E-4</v>
      </c>
      <c r="W130" s="2"/>
      <c r="X130" s="6">
        <f t="shared" si="86"/>
        <v>649.55000000000007</v>
      </c>
      <c r="Y130" s="2"/>
      <c r="Z130" s="7">
        <f t="shared" si="87"/>
        <v>-1.0871675565300349</v>
      </c>
    </row>
    <row r="131" spans="1:26" s="28" customFormat="1" outlineLevel="1" collapsed="1" x14ac:dyDescent="0.25">
      <c r="A131" s="27"/>
      <c r="B131" s="14" t="str">
        <f>CONCATENATE("     ","Subscriptions &amp; Dues                              ")</f>
        <v xml:space="preserve">     Subscriptions &amp; Dues                              </v>
      </c>
      <c r="C131" s="14"/>
      <c r="D131" s="1">
        <f>SUM(OSRRefD22_15x_0)</f>
        <v>0</v>
      </c>
      <c r="E131" s="1"/>
      <c r="F131" s="5">
        <f t="shared" ref="F131:F137" si="88">IF(D$12=0,0,D131/D$12)</f>
        <v>0</v>
      </c>
      <c r="G131" s="1"/>
      <c r="H131" s="1">
        <f>SUM(OSRRefH22_15x_0)</f>
        <v>75</v>
      </c>
      <c r="I131" s="1"/>
      <c r="J131" s="5">
        <f t="shared" ref="J131:J137" si="89">IF(H$12=0,0,H131/H$12)</f>
        <v>6.4985714407020943E-4</v>
      </c>
      <c r="K131" s="1"/>
      <c r="L131" s="1">
        <f t="shared" ref="L131:L137" si="90">+D131-H131</f>
        <v>-75</v>
      </c>
      <c r="M131" s="1"/>
      <c r="N131" s="5">
        <f t="shared" ref="N131:N137" si="91">IF(H131=0,0,L131/H131)</f>
        <v>-1</v>
      </c>
      <c r="O131" s="14"/>
      <c r="P131" s="1">
        <f>SUM(OSRRefP22_15x_0)</f>
        <v>0</v>
      </c>
      <c r="Q131" s="1"/>
      <c r="R131" s="5">
        <f t="shared" ref="R131:R137" si="92">IF(P$12=0,0,P131/P$12)</f>
        <v>0</v>
      </c>
      <c r="S131" s="1"/>
      <c r="T131" s="1">
        <f>SUM(OSRRefT22_15x_0)</f>
        <v>225.73</v>
      </c>
      <c r="U131" s="1"/>
      <c r="V131" s="5">
        <f t="shared" ref="V131:V137" si="93">IF(T$12=0,0,T131/T$12)</f>
        <v>3.1569865512344941E-4</v>
      </c>
      <c r="W131" s="1"/>
      <c r="X131" s="1">
        <f t="shared" ref="X131:X137" si="94">+P131-T131</f>
        <v>-225.73</v>
      </c>
      <c r="Y131" s="1"/>
      <c r="Z131" s="5">
        <f t="shared" ref="Z131:Z137" si="95">IF(T131=0,0,X131/T131)</f>
        <v>-1</v>
      </c>
    </row>
    <row r="132" spans="1:26" s="24" customFormat="1" hidden="1" outlineLevel="2" x14ac:dyDescent="0.25">
      <c r="A132" s="29"/>
      <c r="B132" s="11" t="str">
        <f>CONCATENATE("          ", "6275", " - ", "SUBSCRIPTIONS")</f>
        <v xml:space="preserve">          6275 - SUBSCRIPTIONS</v>
      </c>
      <c r="C132" s="11"/>
      <c r="D132" s="6"/>
      <c r="E132" s="2"/>
      <c r="F132" s="7">
        <f t="shared" si="88"/>
        <v>0</v>
      </c>
      <c r="G132" s="2"/>
      <c r="H132" s="6">
        <v>75</v>
      </c>
      <c r="I132" s="2"/>
      <c r="J132" s="7">
        <f t="shared" si="89"/>
        <v>6.4985714407020943E-4</v>
      </c>
      <c r="K132" s="2"/>
      <c r="L132" s="6">
        <f t="shared" si="90"/>
        <v>-75</v>
      </c>
      <c r="M132" s="2"/>
      <c r="N132" s="7">
        <f t="shared" si="91"/>
        <v>-1</v>
      </c>
      <c r="O132" s="11"/>
      <c r="P132" s="6"/>
      <c r="Q132" s="2"/>
      <c r="R132" s="7">
        <f t="shared" si="92"/>
        <v>0</v>
      </c>
      <c r="S132" s="2"/>
      <c r="T132" s="6">
        <v>225.73</v>
      </c>
      <c r="U132" s="2"/>
      <c r="V132" s="7">
        <f t="shared" si="93"/>
        <v>3.1569865512344941E-4</v>
      </c>
      <c r="W132" s="2"/>
      <c r="X132" s="6">
        <f t="shared" si="94"/>
        <v>-225.73</v>
      </c>
      <c r="Y132" s="2"/>
      <c r="Z132" s="7">
        <f t="shared" si="95"/>
        <v>-1</v>
      </c>
    </row>
    <row r="133" spans="1:26" s="28" customFormat="1" outlineLevel="1" collapsed="1" x14ac:dyDescent="0.25">
      <c r="A133" s="27"/>
      <c r="B133" s="14" t="str">
        <f>CONCATENATE("     ","Supplies                                          ")</f>
        <v xml:space="preserve">     Supplies                                          </v>
      </c>
      <c r="C133" s="14"/>
      <c r="D133" s="1">
        <f>SUM(OSRRefD22_16x_0)</f>
        <v>1228.48</v>
      </c>
      <c r="E133" s="1"/>
      <c r="F133" s="5">
        <f t="shared" si="88"/>
        <v>2.5698760356130997E-3</v>
      </c>
      <c r="G133" s="1"/>
      <c r="H133" s="1">
        <f>SUM(OSRRefH22_16x_0)</f>
        <v>259.3</v>
      </c>
      <c r="I133" s="1"/>
      <c r="J133" s="5">
        <f t="shared" si="89"/>
        <v>2.2467727660987371E-3</v>
      </c>
      <c r="K133" s="1"/>
      <c r="L133" s="1">
        <f t="shared" si="90"/>
        <v>969.18000000000006</v>
      </c>
      <c r="M133" s="1"/>
      <c r="N133" s="5">
        <f t="shared" si="91"/>
        <v>3.7376783648283842</v>
      </c>
      <c r="O133" s="14"/>
      <c r="P133" s="1">
        <f>SUM(OSRRefP22_16x_0)</f>
        <v>7472.76</v>
      </c>
      <c r="Q133" s="1"/>
      <c r="R133" s="5">
        <f t="shared" si="92"/>
        <v>5.4448474685520635E-3</v>
      </c>
      <c r="S133" s="1"/>
      <c r="T133" s="1">
        <f>SUM(OSRRefT22_16x_0)</f>
        <v>1769.01</v>
      </c>
      <c r="U133" s="1"/>
      <c r="V133" s="5">
        <f t="shared" si="93"/>
        <v>2.4740799977846688E-3</v>
      </c>
      <c r="W133" s="1"/>
      <c r="X133" s="1">
        <f t="shared" si="94"/>
        <v>5703.75</v>
      </c>
      <c r="Y133" s="1"/>
      <c r="Z133" s="5">
        <f t="shared" si="95"/>
        <v>3.2242610273542831</v>
      </c>
    </row>
    <row r="134" spans="1:26" s="24" customFormat="1" hidden="1" outlineLevel="2" x14ac:dyDescent="0.25">
      <c r="A134" s="29"/>
      <c r="B134" s="11" t="str">
        <f>CONCATENATE("          ", "6235", " - ", "COVID-19 EXPENSES")</f>
        <v xml:space="preserve">          6235 - COVID-19 EXPENSES</v>
      </c>
      <c r="C134" s="11"/>
      <c r="D134" s="6"/>
      <c r="E134" s="2"/>
      <c r="F134" s="7">
        <f t="shared" si="88"/>
        <v>0</v>
      </c>
      <c r="G134" s="2"/>
      <c r="H134" s="6"/>
      <c r="I134" s="2"/>
      <c r="J134" s="7">
        <f t="shared" si="89"/>
        <v>0</v>
      </c>
      <c r="K134" s="2"/>
      <c r="L134" s="6">
        <f t="shared" si="90"/>
        <v>0</v>
      </c>
      <c r="M134" s="2"/>
      <c r="N134" s="7">
        <f t="shared" si="91"/>
        <v>0</v>
      </c>
      <c r="O134" s="11"/>
      <c r="P134" s="6"/>
      <c r="Q134" s="2"/>
      <c r="R134" s="7">
        <f t="shared" si="92"/>
        <v>0</v>
      </c>
      <c r="S134" s="2"/>
      <c r="T134" s="6">
        <v>1227.08</v>
      </c>
      <c r="U134" s="2"/>
      <c r="V134" s="7">
        <f t="shared" si="93"/>
        <v>1.7161542804628642E-3</v>
      </c>
      <c r="W134" s="2"/>
      <c r="X134" s="6">
        <f t="shared" si="94"/>
        <v>-1227.08</v>
      </c>
      <c r="Y134" s="2"/>
      <c r="Z134" s="7">
        <f t="shared" si="95"/>
        <v>-1</v>
      </c>
    </row>
    <row r="135" spans="1:26" s="24" customFormat="1" hidden="1" outlineLevel="2" x14ac:dyDescent="0.25">
      <c r="A135" s="29"/>
      <c r="B135" s="11" t="str">
        <f>CONCATENATE("          ", "6237", " - ", "JANITORIAL SUPPLIES")</f>
        <v xml:space="preserve">          6237 - JANITORIAL SUPPLIES</v>
      </c>
      <c r="C135" s="11"/>
      <c r="D135" s="6"/>
      <c r="E135" s="2"/>
      <c r="F135" s="7">
        <f t="shared" si="88"/>
        <v>0</v>
      </c>
      <c r="G135" s="2"/>
      <c r="H135" s="6">
        <v>52.43</v>
      </c>
      <c r="I135" s="2"/>
      <c r="J135" s="7">
        <f t="shared" si="89"/>
        <v>4.5429346751468103E-4</v>
      </c>
      <c r="K135" s="2"/>
      <c r="L135" s="6">
        <f t="shared" si="90"/>
        <v>-52.43</v>
      </c>
      <c r="M135" s="2"/>
      <c r="N135" s="7">
        <f t="shared" si="91"/>
        <v>-1</v>
      </c>
      <c r="O135" s="11"/>
      <c r="P135" s="6">
        <v>77.17</v>
      </c>
      <c r="Q135" s="2"/>
      <c r="R135" s="7">
        <f t="shared" si="92"/>
        <v>5.6228070906621216E-5</v>
      </c>
      <c r="S135" s="2"/>
      <c r="T135" s="6">
        <v>191.74</v>
      </c>
      <c r="U135" s="2"/>
      <c r="V135" s="7">
        <f t="shared" si="93"/>
        <v>2.6816134378846498E-4</v>
      </c>
      <c r="W135" s="2"/>
      <c r="X135" s="6">
        <f t="shared" si="94"/>
        <v>-114.57000000000001</v>
      </c>
      <c r="Y135" s="2"/>
      <c r="Z135" s="7">
        <f t="shared" si="95"/>
        <v>-0.59752790236778974</v>
      </c>
    </row>
    <row r="136" spans="1:26" s="24" customFormat="1" hidden="1" outlineLevel="2" x14ac:dyDescent="0.25">
      <c r="A136" s="29"/>
      <c r="B136" s="11" t="str">
        <f>CONCATENATE("          ", "6241", " - ", "OFFICE EXPENSE")</f>
        <v xml:space="preserve">          6241 - OFFICE EXPENSE</v>
      </c>
      <c r="C136" s="11"/>
      <c r="D136" s="6">
        <v>269.39</v>
      </c>
      <c r="E136" s="2"/>
      <c r="F136" s="7">
        <f t="shared" si="88"/>
        <v>5.6354104684961325E-4</v>
      </c>
      <c r="G136" s="2"/>
      <c r="H136" s="6">
        <v>20.16</v>
      </c>
      <c r="I136" s="2"/>
      <c r="J136" s="7">
        <f t="shared" si="89"/>
        <v>1.7468160032607229E-4</v>
      </c>
      <c r="K136" s="2"/>
      <c r="L136" s="6">
        <f t="shared" si="90"/>
        <v>249.23</v>
      </c>
      <c r="M136" s="2"/>
      <c r="N136" s="7">
        <f t="shared" si="91"/>
        <v>12.362599206349206</v>
      </c>
      <c r="O136" s="11"/>
      <c r="P136" s="6">
        <v>763.12</v>
      </c>
      <c r="Q136" s="2"/>
      <c r="R136" s="7">
        <f t="shared" si="92"/>
        <v>5.5602909770974187E-4</v>
      </c>
      <c r="S136" s="2"/>
      <c r="T136" s="6">
        <v>163.47999999999999</v>
      </c>
      <c r="U136" s="2"/>
      <c r="V136" s="7">
        <f t="shared" si="93"/>
        <v>2.2863782456732164E-4</v>
      </c>
      <c r="W136" s="2"/>
      <c r="X136" s="6">
        <f t="shared" si="94"/>
        <v>599.64</v>
      </c>
      <c r="Y136" s="2"/>
      <c r="Z136" s="7">
        <f t="shared" si="95"/>
        <v>3.6679716173232202</v>
      </c>
    </row>
    <row r="137" spans="1:26" s="24" customFormat="1" hidden="1" outlineLevel="2" x14ac:dyDescent="0.25">
      <c r="A137" s="29"/>
      <c r="B137" s="11" t="str">
        <f>CONCATENATE("          ", "6247", " - ", "STORE SUPPLIES")</f>
        <v xml:space="preserve">          6247 - STORE SUPPLIES</v>
      </c>
      <c r="C137" s="11"/>
      <c r="D137" s="6">
        <v>959.09</v>
      </c>
      <c r="E137" s="2"/>
      <c r="F137" s="7">
        <f t="shared" si="88"/>
        <v>2.0063349887634863E-3</v>
      </c>
      <c r="G137" s="2"/>
      <c r="H137" s="6">
        <v>186.71</v>
      </c>
      <c r="I137" s="2"/>
      <c r="J137" s="7">
        <f t="shared" si="89"/>
        <v>1.617797698257984E-3</v>
      </c>
      <c r="K137" s="2"/>
      <c r="L137" s="6">
        <f t="shared" si="90"/>
        <v>772.38</v>
      </c>
      <c r="M137" s="2"/>
      <c r="N137" s="7">
        <f t="shared" si="91"/>
        <v>4.136789673825719</v>
      </c>
      <c r="O137" s="11"/>
      <c r="P137" s="6">
        <v>6632.47</v>
      </c>
      <c r="Q137" s="2"/>
      <c r="R137" s="7">
        <f t="shared" si="92"/>
        <v>4.8325902999357007E-3</v>
      </c>
      <c r="S137" s="2"/>
      <c r="T137" s="6">
        <v>186.71</v>
      </c>
      <c r="U137" s="2"/>
      <c r="V137" s="7">
        <f t="shared" si="93"/>
        <v>2.6112654896601802E-4</v>
      </c>
      <c r="W137" s="2"/>
      <c r="X137" s="6">
        <f t="shared" si="94"/>
        <v>6445.76</v>
      </c>
      <c r="Y137" s="2"/>
      <c r="Z137" s="7">
        <f t="shared" si="95"/>
        <v>34.522842911466981</v>
      </c>
    </row>
    <row r="138" spans="1:26" s="28" customFormat="1" outlineLevel="1" collapsed="1" x14ac:dyDescent="0.25">
      <c r="A138" s="27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SUM(OSRRefD22_17x_0)</f>
        <v>953.29</v>
      </c>
      <c r="E138" s="1"/>
      <c r="F138" s="5">
        <f t="shared" ref="F138:F143" si="96">IF(D$12=0,0,D138/D$12)</f>
        <v>1.9942018803640366E-3</v>
      </c>
      <c r="G138" s="1"/>
      <c r="H138" s="1">
        <f>SUM(OSRRefH22_17x_0)</f>
        <v>556.03</v>
      </c>
      <c r="I138" s="1"/>
      <c r="J138" s="5">
        <f t="shared" ref="J138:J143" si="97">IF(H$12=0,0,H138/H$12)</f>
        <v>4.8178675708981135E-3</v>
      </c>
      <c r="K138" s="1"/>
      <c r="L138" s="1">
        <f t="shared" ref="L138:L143" si="98">+D138-H138</f>
        <v>397.26</v>
      </c>
      <c r="M138" s="1"/>
      <c r="N138" s="5">
        <f t="shared" ref="N138:N143" si="99">IF(H138=0,0,L138/H138)</f>
        <v>0.71445785299354359</v>
      </c>
      <c r="O138" s="14"/>
      <c r="P138" s="1">
        <f>SUM(OSRRefP22_17x_0)</f>
        <v>2076.96</v>
      </c>
      <c r="Q138" s="1"/>
      <c r="R138" s="5">
        <f t="shared" ref="R138:R143" si="100">IF(P$12=0,0,P138/P$12)</f>
        <v>1.5133271238851368E-3</v>
      </c>
      <c r="S138" s="1"/>
      <c r="T138" s="1">
        <f>SUM(OSRRefT22_17x_0)</f>
        <v>3373.09</v>
      </c>
      <c r="U138" s="1"/>
      <c r="V138" s="5">
        <f t="shared" ref="V138:V143" si="101">IF(T$12=0,0,T138/T$12)</f>
        <v>4.7174942480412707E-3</v>
      </c>
      <c r="W138" s="1"/>
      <c r="X138" s="1">
        <f t="shared" ref="X138:X143" si="102">+P138-T138</f>
        <v>-1296.1300000000001</v>
      </c>
      <c r="Y138" s="1"/>
      <c r="Z138" s="5">
        <f t="shared" ref="Z138:Z143" si="103">IF(T138=0,0,X138/T138)</f>
        <v>-0.38425597893919228</v>
      </c>
    </row>
    <row r="139" spans="1:26" s="24" customFormat="1" hidden="1" outlineLevel="2" x14ac:dyDescent="0.25">
      <c r="A139" s="29"/>
      <c r="B139" s="11" t="str">
        <f>CONCATENATE("          ", "6309", " - ", "TELEPHONE")</f>
        <v xml:space="preserve">          6309 - TELEPHONE</v>
      </c>
      <c r="C139" s="11"/>
      <c r="D139" s="6">
        <v>953.29</v>
      </c>
      <c r="E139" s="2"/>
      <c r="F139" s="7">
        <f t="shared" si="96"/>
        <v>1.9942018803640366E-3</v>
      </c>
      <c r="G139" s="2"/>
      <c r="H139" s="6">
        <v>556.03</v>
      </c>
      <c r="I139" s="2"/>
      <c r="J139" s="7">
        <f t="shared" si="97"/>
        <v>4.8178675708981135E-3</v>
      </c>
      <c r="K139" s="2"/>
      <c r="L139" s="6">
        <f t="shared" si="98"/>
        <v>397.26</v>
      </c>
      <c r="M139" s="2"/>
      <c r="N139" s="7">
        <f t="shared" si="99"/>
        <v>0.71445785299354359</v>
      </c>
      <c r="O139" s="11"/>
      <c r="P139" s="6">
        <v>2076.96</v>
      </c>
      <c r="Q139" s="2"/>
      <c r="R139" s="7">
        <f t="shared" si="100"/>
        <v>1.5133271238851368E-3</v>
      </c>
      <c r="S139" s="2"/>
      <c r="T139" s="6">
        <v>3373.09</v>
      </c>
      <c r="U139" s="2"/>
      <c r="V139" s="7">
        <f t="shared" si="101"/>
        <v>4.7174942480412707E-3</v>
      </c>
      <c r="W139" s="2"/>
      <c r="X139" s="6">
        <f t="shared" si="102"/>
        <v>-1296.1300000000001</v>
      </c>
      <c r="Y139" s="2"/>
      <c r="Z139" s="7">
        <f t="shared" si="103"/>
        <v>-0.38425597893919228</v>
      </c>
    </row>
    <row r="140" spans="1:26" s="28" customFormat="1" outlineLevel="1" collapsed="1" x14ac:dyDescent="0.25">
      <c r="A140" s="27"/>
      <c r="B140" s="14" t="str">
        <f>CONCATENATE("     ","Travel                                            ")</f>
        <v xml:space="preserve">     Travel                                            </v>
      </c>
      <c r="C140" s="14"/>
      <c r="D140" s="1">
        <f>SUM(OSRRefD22_18x_0)</f>
        <v>0</v>
      </c>
      <c r="E140" s="1"/>
      <c r="F140" s="5">
        <f t="shared" si="96"/>
        <v>0</v>
      </c>
      <c r="G140" s="1"/>
      <c r="H140" s="1">
        <f>SUM(OSRRefH22_18x_0)</f>
        <v>80.959999999999994</v>
      </c>
      <c r="I140" s="1"/>
      <c r="J140" s="5">
        <f t="shared" si="97"/>
        <v>7.0149912511898859E-4</v>
      </c>
      <c r="K140" s="1"/>
      <c r="L140" s="1">
        <f t="shared" si="98"/>
        <v>-80.959999999999994</v>
      </c>
      <c r="M140" s="1"/>
      <c r="N140" s="5">
        <f t="shared" si="99"/>
        <v>-1</v>
      </c>
      <c r="O140" s="14"/>
      <c r="P140" s="1">
        <f>SUM(OSRRefP22_18x_0)</f>
        <v>215.53</v>
      </c>
      <c r="Q140" s="1"/>
      <c r="R140" s="5">
        <f t="shared" si="100"/>
        <v>1.5704076872494584E-4</v>
      </c>
      <c r="S140" s="1"/>
      <c r="T140" s="1">
        <f>SUM(OSRRefT22_18x_0)</f>
        <v>321.88</v>
      </c>
      <c r="U140" s="1"/>
      <c r="V140" s="5">
        <f t="shared" si="101"/>
        <v>4.5017092593423961E-4</v>
      </c>
      <c r="W140" s="1"/>
      <c r="X140" s="1">
        <f t="shared" si="102"/>
        <v>-106.35</v>
      </c>
      <c r="Y140" s="1"/>
      <c r="Z140" s="5">
        <f t="shared" si="103"/>
        <v>-0.33040263452218216</v>
      </c>
    </row>
    <row r="141" spans="1:26" s="24" customFormat="1" hidden="1" outlineLevel="2" x14ac:dyDescent="0.25">
      <c r="A141" s="29"/>
      <c r="B141" s="11" t="str">
        <f>CONCATENATE("          ", "6294", " - ", "TRAVEL OPERATIONAL")</f>
        <v xml:space="preserve">          6294 - TRAVEL OPERATIONAL</v>
      </c>
      <c r="C141" s="11"/>
      <c r="D141" s="6"/>
      <c r="E141" s="2"/>
      <c r="F141" s="7">
        <f t="shared" si="96"/>
        <v>0</v>
      </c>
      <c r="G141" s="2"/>
      <c r="H141" s="6">
        <v>80.959999999999994</v>
      </c>
      <c r="I141" s="2"/>
      <c r="J141" s="7">
        <f t="shared" si="97"/>
        <v>7.0149912511898859E-4</v>
      </c>
      <c r="K141" s="2"/>
      <c r="L141" s="6">
        <f t="shared" si="98"/>
        <v>-80.959999999999994</v>
      </c>
      <c r="M141" s="2"/>
      <c r="N141" s="7">
        <f t="shared" si="99"/>
        <v>-1</v>
      </c>
      <c r="O141" s="11"/>
      <c r="P141" s="6">
        <v>215.53</v>
      </c>
      <c r="Q141" s="2"/>
      <c r="R141" s="7">
        <f t="shared" si="100"/>
        <v>1.5704076872494584E-4</v>
      </c>
      <c r="S141" s="2"/>
      <c r="T141" s="6">
        <v>321.88</v>
      </c>
      <c r="U141" s="2"/>
      <c r="V141" s="7">
        <f t="shared" si="101"/>
        <v>4.5017092593423961E-4</v>
      </c>
      <c r="W141" s="2"/>
      <c r="X141" s="6">
        <f t="shared" si="102"/>
        <v>-106.35</v>
      </c>
      <c r="Y141" s="2"/>
      <c r="Z141" s="7">
        <f t="shared" si="103"/>
        <v>-0.33040263452218216</v>
      </c>
    </row>
    <row r="142" spans="1:26" s="28" customFormat="1" outlineLevel="1" collapsed="1" x14ac:dyDescent="0.25">
      <c r="A142" s="27"/>
      <c r="B142" s="14" t="str">
        <f>CONCATENATE("     ","Utilities                                         ")</f>
        <v xml:space="preserve">     Utilities                                         </v>
      </c>
      <c r="C142" s="14"/>
      <c r="D142" s="1">
        <f>SUM(OSRRefD22_19x_0)</f>
        <v>38.6</v>
      </c>
      <c r="E142" s="1"/>
      <c r="F142" s="5">
        <f t="shared" si="96"/>
        <v>8.0747928313579102E-5</v>
      </c>
      <c r="G142" s="1"/>
      <c r="H142" s="1">
        <f>SUM(OSRRefH22_19x_0)</f>
        <v>16.05</v>
      </c>
      <c r="I142" s="1"/>
      <c r="J142" s="5">
        <f t="shared" si="97"/>
        <v>1.3906942883102483E-4</v>
      </c>
      <c r="K142" s="1"/>
      <c r="L142" s="1">
        <f t="shared" si="98"/>
        <v>22.55</v>
      </c>
      <c r="M142" s="1"/>
      <c r="N142" s="5">
        <f t="shared" si="99"/>
        <v>1.4049844236760125</v>
      </c>
      <c r="O142" s="14"/>
      <c r="P142" s="1">
        <f>SUM(OSRRefP22_19x_0)</f>
        <v>149.97999999999999</v>
      </c>
      <c r="Q142" s="1"/>
      <c r="R142" s="5">
        <f t="shared" si="100"/>
        <v>1.0927933231275171E-4</v>
      </c>
      <c r="S142" s="1"/>
      <c r="T142" s="1">
        <f>SUM(OSRRefT22_19x_0)</f>
        <v>84.41</v>
      </c>
      <c r="U142" s="1"/>
      <c r="V142" s="5">
        <f t="shared" si="101"/>
        <v>1.1805308766655016E-4</v>
      </c>
      <c r="W142" s="1"/>
      <c r="X142" s="1">
        <f t="shared" si="102"/>
        <v>65.569999999999993</v>
      </c>
      <c r="Y142" s="1"/>
      <c r="Z142" s="5">
        <f t="shared" si="103"/>
        <v>0.77680369624452072</v>
      </c>
    </row>
    <row r="143" spans="1:26" s="24" customFormat="1" hidden="1" outlineLevel="2" x14ac:dyDescent="0.25">
      <c r="A143" s="29"/>
      <c r="B143" s="11" t="str">
        <f>CONCATENATE("          ", "6274", " - ", "UTILITIES")</f>
        <v xml:space="preserve">          6274 - UTILITIES</v>
      </c>
      <c r="C143" s="11"/>
      <c r="D143" s="6">
        <v>38.6</v>
      </c>
      <c r="E143" s="2"/>
      <c r="F143" s="7">
        <f t="shared" si="96"/>
        <v>8.0747928313579102E-5</v>
      </c>
      <c r="G143" s="2"/>
      <c r="H143" s="6">
        <v>16.05</v>
      </c>
      <c r="I143" s="2"/>
      <c r="J143" s="7">
        <f t="shared" si="97"/>
        <v>1.3906942883102483E-4</v>
      </c>
      <c r="K143" s="2"/>
      <c r="L143" s="6">
        <f t="shared" si="98"/>
        <v>22.55</v>
      </c>
      <c r="M143" s="2"/>
      <c r="N143" s="7">
        <f t="shared" si="99"/>
        <v>1.4049844236760125</v>
      </c>
      <c r="O143" s="11"/>
      <c r="P143" s="6">
        <v>149.97999999999999</v>
      </c>
      <c r="Q143" s="2"/>
      <c r="R143" s="7">
        <f t="shared" si="100"/>
        <v>1.0927933231275171E-4</v>
      </c>
      <c r="S143" s="2"/>
      <c r="T143" s="6">
        <v>84.41</v>
      </c>
      <c r="U143" s="2"/>
      <c r="V143" s="7">
        <f t="shared" si="101"/>
        <v>1.1805308766655016E-4</v>
      </c>
      <c r="W143" s="2"/>
      <c r="X143" s="6">
        <f t="shared" si="102"/>
        <v>65.569999999999993</v>
      </c>
      <c r="Y143" s="2"/>
      <c r="Z143" s="7">
        <f t="shared" si="103"/>
        <v>0.77680369624452072</v>
      </c>
    </row>
    <row r="144" spans="1:26" s="56" customFormat="1" x14ac:dyDescent="0.25">
      <c r="A144" s="37"/>
      <c r="B144" s="37"/>
      <c r="C144" s="37"/>
      <c r="D144" s="1"/>
      <c r="E144" s="1"/>
      <c r="F144" s="5"/>
      <c r="G144" s="1"/>
      <c r="H144" s="1"/>
      <c r="I144" s="1"/>
      <c r="J144" s="5"/>
      <c r="K144" s="1"/>
      <c r="L144" s="1"/>
      <c r="M144" s="1"/>
      <c r="N144" s="5"/>
      <c r="O144" s="37"/>
      <c r="P144" s="1"/>
      <c r="Q144" s="1"/>
      <c r="R144" s="5"/>
      <c r="S144" s="1"/>
      <c r="T144" s="1"/>
      <c r="U144" s="1"/>
      <c r="V144" s="5"/>
      <c r="W144" s="1"/>
      <c r="X144" s="1"/>
      <c r="Y144" s="1"/>
      <c r="Z144" s="5"/>
    </row>
    <row r="145" spans="1:26" s="23" customFormat="1" collapsed="1" x14ac:dyDescent="0.25">
      <c r="A145" s="10"/>
      <c r="B145" s="25" t="s">
        <v>292</v>
      </c>
      <c r="C145" s="10"/>
      <c r="D145" s="4">
        <f>SUM(OSRRefD25x_0)</f>
        <v>27298.799999999999</v>
      </c>
      <c r="E145" s="4"/>
      <c r="F145" s="12">
        <f t="shared" ref="F145:F147" si="104">IF(D$12=0,0,D145/D$12)</f>
        <v>5.7106775788775467E-2</v>
      </c>
      <c r="G145" s="4"/>
      <c r="H145" s="4">
        <f>SUM(OSRRefH25x_0)</f>
        <v>20979.200000000001</v>
      </c>
      <c r="I145" s="4"/>
      <c r="J145" s="12">
        <f t="shared" ref="J145:J147" si="105">IF(H$12=0,0,H145/H$12)</f>
        <v>0.18177977329170317</v>
      </c>
      <c r="K145" s="4"/>
      <c r="L145" s="4">
        <f t="shared" ref="L145:L147" si="106">+D145-H145</f>
        <v>6319.5999999999985</v>
      </c>
      <c r="M145" s="4"/>
      <c r="N145" s="12">
        <f t="shared" ref="N145:N147" si="107">IF(H145=0,0,L145/H145)</f>
        <v>0.30123169615619272</v>
      </c>
      <c r="O145" s="10"/>
      <c r="P145" s="4">
        <f>SUM(OSRRefP25x_0)</f>
        <v>119063.12</v>
      </c>
      <c r="Q145" s="4"/>
      <c r="R145" s="12">
        <f t="shared" ref="R145:R147" si="108">IF(P$12=0,0,P145/P$12)</f>
        <v>8.6752488709648176E-2</v>
      </c>
      <c r="S145" s="4"/>
      <c r="T145" s="4">
        <f>SUM(OSRRefT25x_0)</f>
        <v>192987.51</v>
      </c>
      <c r="U145" s="4"/>
      <c r="V145" s="12">
        <f t="shared" ref="V145:V147" si="109">IF(T$12=0,0,T145/T$12)</f>
        <v>0.26990607080416096</v>
      </c>
      <c r="W145" s="4"/>
      <c r="X145" s="4">
        <f t="shared" ref="X145:X147" si="110">+P145-T145</f>
        <v>-73924.390000000014</v>
      </c>
      <c r="Y145" s="4"/>
      <c r="Z145" s="12">
        <f t="shared" ref="Z145:Z147" si="111">IF(T145=0,0,X145/T145)</f>
        <v>-0.38305271672762664</v>
      </c>
    </row>
    <row r="146" spans="1:26" s="24" customFormat="1" hidden="1" outlineLevel="1" x14ac:dyDescent="0.25">
      <c r="A146" s="44"/>
      <c r="B146" s="11" t="str">
        <f>CONCATENATE("          ", "9150", " - ", "MISC. INCOME")</f>
        <v xml:space="preserve">          9150 - MISC. INCOME</v>
      </c>
      <c r="C146" s="11"/>
      <c r="D146" s="2">
        <f>--17561.84</f>
        <v>17561.84</v>
      </c>
      <c r="E146" s="2"/>
      <c r="F146" s="19">
        <f t="shared" si="104"/>
        <v>3.6737880760998598E-2</v>
      </c>
      <c r="G146" s="2"/>
      <c r="H146" s="2">
        <f>--20979.2</f>
        <v>20979.200000000001</v>
      </c>
      <c r="I146" s="2"/>
      <c r="J146" s="19">
        <f t="shared" si="105"/>
        <v>0.18177977329170317</v>
      </c>
      <c r="K146" s="2"/>
      <c r="L146" s="2">
        <f t="shared" si="106"/>
        <v>-3417.3600000000006</v>
      </c>
      <c r="M146" s="2"/>
      <c r="N146" s="19">
        <f t="shared" si="107"/>
        <v>-0.16289276998169619</v>
      </c>
      <c r="O146" s="11"/>
      <c r="P146" s="2">
        <f>--46314.92</f>
        <v>46314.92</v>
      </c>
      <c r="Q146" s="2"/>
      <c r="R146" s="19">
        <f t="shared" si="108"/>
        <v>3.3746256392309042E-2</v>
      </c>
      <c r="S146" s="2"/>
      <c r="T146" s="2">
        <f>--32323.61</f>
        <v>32323.61</v>
      </c>
      <c r="U146" s="2"/>
      <c r="V146" s="19">
        <f t="shared" si="109"/>
        <v>4.52067523401182E-2</v>
      </c>
      <c r="W146" s="2"/>
      <c r="X146" s="2">
        <f t="shared" si="110"/>
        <v>13991.309999999998</v>
      </c>
      <c r="Y146" s="2"/>
      <c r="Z146" s="19">
        <f t="shared" si="111"/>
        <v>0.43285109553048057</v>
      </c>
    </row>
    <row r="147" spans="1:26" s="24" customFormat="1" hidden="1" outlineLevel="1" x14ac:dyDescent="0.25">
      <c r="A147" s="44"/>
      <c r="B147" s="11" t="str">
        <f>CONCATENATE("          ", "9163", " - ", "MISC. INCOME")</f>
        <v xml:space="preserve">          9163 - MISC. INCOME</v>
      </c>
      <c r="C147" s="11"/>
      <c r="D147" s="2">
        <f>--9736.96</f>
        <v>9736.9599999999991</v>
      </c>
      <c r="E147" s="2"/>
      <c r="F147" s="19">
        <f t="shared" si="104"/>
        <v>2.0368895027776866E-2</v>
      </c>
      <c r="G147" s="2"/>
      <c r="H147" s="2">
        <f>0</f>
        <v>0</v>
      </c>
      <c r="I147" s="2"/>
      <c r="J147" s="19">
        <f t="shared" si="105"/>
        <v>0</v>
      </c>
      <c r="K147" s="2"/>
      <c r="L147" s="2">
        <f t="shared" si="106"/>
        <v>9736.9599999999991</v>
      </c>
      <c r="M147" s="2"/>
      <c r="N147" s="19">
        <f t="shared" si="107"/>
        <v>0</v>
      </c>
      <c r="O147" s="11"/>
      <c r="P147" s="2">
        <f>--72748.2</f>
        <v>72748.2</v>
      </c>
      <c r="Q147" s="2"/>
      <c r="R147" s="19">
        <f t="shared" si="108"/>
        <v>5.3006232317339141E-2</v>
      </c>
      <c r="S147" s="2"/>
      <c r="T147" s="2">
        <f>--160663.9</f>
        <v>160663.9</v>
      </c>
      <c r="U147" s="2"/>
      <c r="V147" s="19">
        <f t="shared" si="109"/>
        <v>0.22469931846404273</v>
      </c>
      <c r="W147" s="2"/>
      <c r="X147" s="2">
        <f t="shared" si="110"/>
        <v>-87915.7</v>
      </c>
      <c r="Y147" s="2"/>
      <c r="Z147" s="19">
        <f t="shared" si="111"/>
        <v>-0.54720257630992397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10"/>
      <c r="B149" s="26" t="s">
        <v>276</v>
      </c>
      <c r="C149" s="26"/>
      <c r="D149" s="22">
        <f>+D80-D82+D145</f>
        <v>127262.24999999996</v>
      </c>
      <c r="E149" s="13"/>
      <c r="F149" s="20">
        <f>IF(D$12=0,0,D149/D$12)</f>
        <v>0.26622184041514968</v>
      </c>
      <c r="G149" s="13"/>
      <c r="H149" s="22">
        <f>+H80-H82+H145</f>
        <v>332.67000000002372</v>
      </c>
      <c r="I149" s="13"/>
      <c r="J149" s="20">
        <f>IF(H$12=0,0,H149/H$12)</f>
        <v>2.8825063482380265E-3</v>
      </c>
      <c r="K149" s="15"/>
      <c r="L149" s="22">
        <f>+D149-H149</f>
        <v>126929.57999999993</v>
      </c>
      <c r="M149" s="15"/>
      <c r="N149" s="20">
        <f>IF(H149=0,0,L149/H149)</f>
        <v>381.5480205608888</v>
      </c>
      <c r="O149" s="25"/>
      <c r="P149" s="22">
        <f>+P80-P82+P145</f>
        <v>425030.83</v>
      </c>
      <c r="Q149" s="13"/>
      <c r="R149" s="20">
        <f>IF(P$12=0,0,P149/P$12)</f>
        <v>0.30968852723519591</v>
      </c>
      <c r="S149" s="13"/>
      <c r="T149" s="22">
        <f>+T80-T82+T145</f>
        <v>202665.94999999995</v>
      </c>
      <c r="U149" s="13"/>
      <c r="V149" s="20">
        <f>IF(T$12=0,0,T149/T$12)</f>
        <v>0.28344202301119137</v>
      </c>
      <c r="W149" s="15"/>
      <c r="X149" s="22">
        <f>+P149-T149</f>
        <v>222364.88000000006</v>
      </c>
      <c r="Y149" s="15"/>
      <c r="Z149" s="20">
        <f>IF(T149=0,0,X149/T149)</f>
        <v>1.097199011476768</v>
      </c>
    </row>
    <row r="150" spans="1:26" x14ac:dyDescent="0.2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51"/>
      <c r="B151" s="10" t="s">
        <v>127</v>
      </c>
      <c r="C151" s="10"/>
      <c r="D151" s="4">
        <v>47936.61</v>
      </c>
      <c r="E151" s="4"/>
      <c r="F151" s="12">
        <f>IF(D$12=0,0,D151/D$12)</f>
        <v>0.10027932507450774</v>
      </c>
      <c r="G151" s="4"/>
      <c r="H151" s="4">
        <v>43807.9</v>
      </c>
      <c r="I151" s="4"/>
      <c r="J151" s="12">
        <f>IF(H$12=0,0,H151/H$12)</f>
        <v>0.3795850237561777</v>
      </c>
      <c r="K151" s="4"/>
      <c r="L151" s="4">
        <f>+D151-H151</f>
        <v>4128.7099999999991</v>
      </c>
      <c r="M151" s="4"/>
      <c r="N151" s="12">
        <f>IF(H151=0,0,L151/H151)</f>
        <v>9.4245786718833796E-2</v>
      </c>
      <c r="O151" s="10"/>
      <c r="P151" s="4">
        <v>158643.43</v>
      </c>
      <c r="Q151" s="4"/>
      <c r="R151" s="12">
        <f>IF(P$12=0,0,P151/P$12)</f>
        <v>0.11559173293909031</v>
      </c>
      <c r="S151" s="4"/>
      <c r="T151" s="4">
        <v>154888.15</v>
      </c>
      <c r="U151" s="4"/>
      <c r="V151" s="12">
        <f>IF(T$12=0,0,T151/T$12)</f>
        <v>0.21662154188437116</v>
      </c>
      <c r="W151" s="4"/>
      <c r="X151" s="4">
        <f>+P151-T151</f>
        <v>3755.2799999999988</v>
      </c>
      <c r="Y151" s="4"/>
      <c r="Z151" s="12">
        <f>IF(T151=0,0,X151/T151)</f>
        <v>2.424510848634966E-2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6" t="s">
        <v>125</v>
      </c>
      <c r="C153" s="26"/>
      <c r="D153" s="33">
        <f>+D149-D151</f>
        <v>79325.639999999956</v>
      </c>
      <c r="E153" s="13"/>
      <c r="F153" s="31">
        <f>IF(D$12=0,0,D153/D$12)</f>
        <v>0.16594251534064194</v>
      </c>
      <c r="G153" s="13"/>
      <c r="H153" s="33">
        <f>+H149-H151</f>
        <v>-43475.229999999981</v>
      </c>
      <c r="I153" s="13"/>
      <c r="J153" s="31">
        <f>IF(H$12=0,0,H153/H$12)</f>
        <v>-0.3767025174079397</v>
      </c>
      <c r="K153" s="15"/>
      <c r="L153" s="33">
        <f>D153-H153</f>
        <v>122800.86999999994</v>
      </c>
      <c r="M153" s="15"/>
      <c r="N153" s="31">
        <f>IF(H153=0,0,L153/H153)</f>
        <v>-2.8246169140450776</v>
      </c>
      <c r="O153" s="25"/>
      <c r="P153" s="33">
        <f>+P149-P151</f>
        <v>266387.40000000002</v>
      </c>
      <c r="Q153" s="13"/>
      <c r="R153" s="31">
        <f>IF(P$12=0,0,P153/P$12)</f>
        <v>0.1940967942961056</v>
      </c>
      <c r="S153" s="13"/>
      <c r="T153" s="33">
        <f>+T149-T151</f>
        <v>47777.799999999959</v>
      </c>
      <c r="U153" s="13"/>
      <c r="V153" s="31">
        <f>IF(T$12=0,0,T153/T$12)</f>
        <v>6.6820481126820222E-2</v>
      </c>
      <c r="W153" s="15"/>
      <c r="X153" s="33">
        <f>P153-T153</f>
        <v>218609.60000000006</v>
      </c>
      <c r="Y153" s="15"/>
      <c r="Z153" s="31">
        <f>IF(T153=0,0,X153/T153)</f>
        <v>4.5755476392801731</v>
      </c>
    </row>
    <row r="154" spans="1:26" ht="15.75" thickTop="1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6" t="s">
        <v>293</v>
      </c>
      <c r="C156" s="26"/>
      <c r="D156" s="34">
        <f>SUM(D153:D155)</f>
        <v>79325.639999999956</v>
      </c>
      <c r="E156" s="13"/>
      <c r="F156" s="30">
        <f>IF(D$12=0,0,D156/D$12)</f>
        <v>0.16594251534064194</v>
      </c>
      <c r="G156" s="13"/>
      <c r="H156" s="34">
        <f>SUM(H153:H155)</f>
        <v>-43475.229999999981</v>
      </c>
      <c r="I156" s="13"/>
      <c r="J156" s="30">
        <f>IF(H$12=0,0,H156/H$12)</f>
        <v>-0.3767025174079397</v>
      </c>
      <c r="K156" s="15"/>
      <c r="L156" s="34">
        <f>+D156-H156</f>
        <v>122800.86999999994</v>
      </c>
      <c r="M156" s="15"/>
      <c r="N156" s="30">
        <f>IF(H156=0,0,L156/H156)</f>
        <v>-2.8246169140450776</v>
      </c>
      <c r="O156" s="25"/>
      <c r="P156" s="34">
        <f>SUM(P153:P155)</f>
        <v>266387.40000000002</v>
      </c>
      <c r="Q156" s="13"/>
      <c r="R156" s="30">
        <f>IF(P$12=0,0,P156/P$12)</f>
        <v>0.1940967942961056</v>
      </c>
      <c r="S156" s="13"/>
      <c r="T156" s="34">
        <f>SUM(T153:T155)</f>
        <v>47777.799999999959</v>
      </c>
      <c r="U156" s="13"/>
      <c r="V156" s="30">
        <f>IF(T$12=0,0,T156/T$12)</f>
        <v>6.6820481126820222E-2</v>
      </c>
      <c r="W156" s="15"/>
      <c r="X156" s="34">
        <f>+P156-T156</f>
        <v>218609.60000000006</v>
      </c>
      <c r="Y156" s="15"/>
      <c r="Z156" s="30">
        <f>IF(T156=0,0,X156/T156)</f>
        <v>4.5755476392801731</v>
      </c>
    </row>
    <row r="157" spans="1:26" ht="15.75" thickTop="1" x14ac:dyDescent="0.25">
      <c r="A157" s="9"/>
      <c r="C157" s="9"/>
      <c r="D157" s="18"/>
      <c r="E157" s="18"/>
      <c r="G157" s="18"/>
      <c r="H157" s="18"/>
      <c r="I157" s="18"/>
      <c r="J157" s="42"/>
      <c r="K157" s="18"/>
      <c r="L157" s="18"/>
      <c r="M157" s="18"/>
      <c r="P157" s="18"/>
      <c r="Q157" s="18"/>
      <c r="R157" s="42"/>
      <c r="S157" s="18"/>
      <c r="T157" s="18"/>
      <c r="U157" s="18"/>
      <c r="V157" s="42"/>
      <c r="W157" s="18"/>
      <c r="X157" s="18"/>
    </row>
    <row r="158" spans="1:26" x14ac:dyDescent="0.25">
      <c r="A158" s="9"/>
      <c r="B158" s="61">
        <v>44517.966998414355</v>
      </c>
      <c r="D158" s="18"/>
      <c r="E158" s="18"/>
      <c r="G158" s="18"/>
      <c r="H158" s="18"/>
      <c r="I158" s="18"/>
      <c r="J158" s="42"/>
      <c r="K158" s="18"/>
      <c r="L158" s="18"/>
      <c r="M158" s="18"/>
      <c r="P158" s="18"/>
      <c r="Q158" s="18"/>
      <c r="R158" s="42"/>
      <c r="S158" s="18"/>
      <c r="T158" s="18"/>
      <c r="U158" s="18"/>
      <c r="V158" s="42"/>
      <c r="W158" s="18"/>
      <c r="X158" s="18"/>
    </row>
    <row r="159" spans="1:26" x14ac:dyDescent="0.25">
      <c r="A159" s="9"/>
      <c r="B159" s="57" t="s">
        <v>56</v>
      </c>
      <c r="D159" s="18"/>
      <c r="E159" s="18"/>
      <c r="G159" s="18"/>
      <c r="H159" s="18"/>
      <c r="I159" s="18"/>
      <c r="J159" s="42"/>
      <c r="K159" s="18"/>
      <c r="L159" s="18"/>
      <c r="M159" s="18"/>
      <c r="P159" s="18"/>
      <c r="Q159" s="18"/>
      <c r="R159" s="42"/>
      <c r="S159" s="18"/>
      <c r="T159" s="18"/>
      <c r="U159" s="18"/>
      <c r="V159" s="42"/>
      <c r="W159" s="18"/>
      <c r="X159" s="18"/>
    </row>
    <row r="160" spans="1:26" x14ac:dyDescent="0.25">
      <c r="A160" s="9"/>
      <c r="B160" s="58"/>
      <c r="D160" s="18"/>
      <c r="E160" s="18"/>
      <c r="G160" s="18"/>
      <c r="H160" s="18"/>
      <c r="I160" s="18"/>
      <c r="J160" s="42"/>
      <c r="K160" s="18"/>
      <c r="L160" s="18"/>
      <c r="M160" s="18"/>
      <c r="P160" s="18"/>
      <c r="Q160" s="18"/>
      <c r="R160" s="42"/>
      <c r="S160" s="18"/>
      <c r="T160" s="18"/>
      <c r="U160" s="18"/>
      <c r="V160" s="42"/>
      <c r="W160" s="18"/>
      <c r="X160" s="18"/>
    </row>
    <row r="161" spans="4:24" x14ac:dyDescent="0.25">
      <c r="D161" s="18"/>
      <c r="E161" s="18"/>
      <c r="G161" s="18"/>
      <c r="H161" s="18"/>
      <c r="I161" s="18"/>
      <c r="J161" s="42"/>
      <c r="K161" s="18"/>
      <c r="L161" s="18"/>
      <c r="M161" s="18"/>
      <c r="P161" s="18"/>
      <c r="Q161" s="18"/>
      <c r="R161" s="42"/>
      <c r="S161" s="18"/>
      <c r="T161" s="18"/>
      <c r="U161" s="18"/>
      <c r="V161" s="42"/>
      <c r="W161" s="18"/>
      <c r="X16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","315", " - ", "Bookstore Retail")</f>
        <v>Department 315 - Bookstore Retail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449676.7</v>
      </c>
      <c r="E12" s="4"/>
      <c r="F12" s="12"/>
      <c r="G12" s="4"/>
      <c r="H12" s="4">
        <f>SUM(OSRRefH13x_0)</f>
        <v>96631.999999999971</v>
      </c>
      <c r="I12" s="4"/>
      <c r="J12" s="12"/>
      <c r="K12" s="4"/>
      <c r="L12" s="4">
        <f t="shared" ref="L12:L52" si="0">+D12-H12</f>
        <v>353044.70000000007</v>
      </c>
      <c r="M12" s="4"/>
      <c r="N12" s="12">
        <f t="shared" ref="N12:N52" si="1">IF(H12=0,0,L12/H12)</f>
        <v>3.6534967712559006</v>
      </c>
      <c r="O12" s="10"/>
      <c r="P12" s="4">
        <f>SUM(OSRRefP13x_0)</f>
        <v>1254617.46</v>
      </c>
      <c r="Q12" s="4"/>
      <c r="R12" s="12"/>
      <c r="S12" s="4"/>
      <c r="T12" s="4">
        <f>SUM(OSRRefT13x_0)</f>
        <v>626595.43999999994</v>
      </c>
      <c r="U12" s="4"/>
      <c r="V12" s="12"/>
      <c r="W12" s="4"/>
      <c r="X12" s="4">
        <f t="shared" ref="X12:X52" si="2">+P12-T12</f>
        <v>628022.02</v>
      </c>
      <c r="Y12" s="4"/>
      <c r="Z12" s="12">
        <f t="shared" ref="Z12:Z52" si="3">IF(T12=0,0,X12/T12)</f>
        <v>1.0022767162174051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--402019.25</f>
        <v>402019.25</v>
      </c>
      <c r="E13" s="2"/>
      <c r="F13" s="19"/>
      <c r="G13" s="2"/>
      <c r="H13" s="2">
        <f>-8145.92</f>
        <v>-8145.92</v>
      </c>
      <c r="I13" s="2"/>
      <c r="J13" s="19"/>
      <c r="K13" s="2"/>
      <c r="L13" s="2">
        <f t="shared" si="0"/>
        <v>410165.17</v>
      </c>
      <c r="M13" s="2"/>
      <c r="N13" s="19">
        <f t="shared" si="1"/>
        <v>-50.352221725722814</v>
      </c>
      <c r="O13" s="11"/>
      <c r="P13" s="2">
        <f>--1145023.51</f>
        <v>1145023.51</v>
      </c>
      <c r="Q13" s="2"/>
      <c r="R13" s="19"/>
      <c r="S13" s="2"/>
      <c r="T13" s="2">
        <f>-37481.46</f>
        <v>-37481.46</v>
      </c>
      <c r="U13" s="2"/>
      <c r="V13" s="19"/>
      <c r="W13" s="2"/>
      <c r="X13" s="2">
        <f t="shared" si="2"/>
        <v>1182504.97</v>
      </c>
      <c r="Y13" s="2"/>
      <c r="Z13" s="19">
        <f t="shared" si="3"/>
        <v>-31.549063723771699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--221.99</f>
        <v>221.99</v>
      </c>
      <c r="U14" s="2"/>
      <c r="V14" s="19"/>
      <c r="W14" s="2"/>
      <c r="X14" s="2">
        <f t="shared" si="2"/>
        <v>-221.99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--2322.55</f>
        <v>2322.5500000000002</v>
      </c>
      <c r="I15" s="2"/>
      <c r="J15" s="19"/>
      <c r="K15" s="2"/>
      <c r="L15" s="2">
        <f t="shared" si="0"/>
        <v>-2322.5500000000002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--26995.72</f>
        <v>26995.72</v>
      </c>
      <c r="U15" s="2"/>
      <c r="V15" s="19"/>
      <c r="W15" s="2"/>
      <c r="X15" s="2">
        <f t="shared" si="2"/>
        <v>-26995.72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--1769.95</f>
        <v>1769.95</v>
      </c>
      <c r="I16" s="2"/>
      <c r="J16" s="19"/>
      <c r="K16" s="2"/>
      <c r="L16" s="2">
        <f t="shared" si="0"/>
        <v>-1769.95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--1789.8</f>
        <v>1789.8</v>
      </c>
      <c r="U16" s="2"/>
      <c r="V16" s="19"/>
      <c r="W16" s="2"/>
      <c r="X16" s="2">
        <f t="shared" si="2"/>
        <v>-1789.8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--424.62</f>
        <v>424.62</v>
      </c>
      <c r="I17" s="2"/>
      <c r="J17" s="19"/>
      <c r="K17" s="2"/>
      <c r="L17" s="2">
        <f t="shared" si="0"/>
        <v>-424.62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--1293.41</f>
        <v>1293.4100000000001</v>
      </c>
      <c r="U17" s="2"/>
      <c r="V17" s="19"/>
      <c r="W17" s="2"/>
      <c r="X17" s="2">
        <f t="shared" si="2"/>
        <v>-1293.4100000000001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--36719.43</f>
        <v>36719.43</v>
      </c>
      <c r="I19" s="2"/>
      <c r="J19" s="19"/>
      <c r="K19" s="2"/>
      <c r="L19" s="2">
        <f t="shared" si="0"/>
        <v>-36719.43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--308104.72</f>
        <v>308104.71999999997</v>
      </c>
      <c r="U19" s="2"/>
      <c r="V19" s="19"/>
      <c r="W19" s="2"/>
      <c r="X19" s="2">
        <f t="shared" si="2"/>
        <v>-308104.71999999997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--11407.8</f>
        <v>11407.8</v>
      </c>
      <c r="I20" s="2"/>
      <c r="J20" s="19"/>
      <c r="K20" s="2"/>
      <c r="L20" s="2">
        <f t="shared" si="0"/>
        <v>-11407.8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--80694.3</f>
        <v>80694.3</v>
      </c>
      <c r="U20" s="2"/>
      <c r="V20" s="19"/>
      <c r="W20" s="2"/>
      <c r="X20" s="2">
        <f t="shared" si="2"/>
        <v>-80694.3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--4494.86</f>
        <v>4494.8599999999997</v>
      </c>
      <c r="I21" s="2"/>
      <c r="J21" s="19"/>
      <c r="K21" s="2"/>
      <c r="L21" s="2">
        <f t="shared" si="0"/>
        <v>-4494.8599999999997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--38703.08</f>
        <v>38703.08</v>
      </c>
      <c r="U21" s="2"/>
      <c r="V21" s="19"/>
      <c r="W21" s="2"/>
      <c r="X21" s="2">
        <f t="shared" si="2"/>
        <v>-38703.08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--30265.07</f>
        <v>30265.07</v>
      </c>
      <c r="I22" s="2"/>
      <c r="J22" s="19"/>
      <c r="K22" s="2"/>
      <c r="L22" s="2">
        <f t="shared" si="0"/>
        <v>-30265.07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--39420.84</f>
        <v>39420.839999999997</v>
      </c>
      <c r="U22" s="2"/>
      <c r="V22" s="19"/>
      <c r="W22" s="2"/>
      <c r="X22" s="2">
        <f t="shared" si="2"/>
        <v>-39420.839999999997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--943.09</f>
        <v>943.09</v>
      </c>
      <c r="I23" s="2"/>
      <c r="J23" s="19"/>
      <c r="K23" s="2"/>
      <c r="L23" s="2">
        <f t="shared" si="0"/>
        <v>-943.09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--11492.14</f>
        <v>11492.14</v>
      </c>
      <c r="U23" s="2"/>
      <c r="V23" s="19"/>
      <c r="W23" s="2"/>
      <c r="X23" s="2">
        <f t="shared" si="2"/>
        <v>-11492.14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--4713.55</f>
        <v>4713.55</v>
      </c>
      <c r="I24" s="2"/>
      <c r="J24" s="19"/>
      <c r="K24" s="2"/>
      <c r="L24" s="2">
        <f t="shared" si="0"/>
        <v>-4713.55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--96685.09</f>
        <v>96685.09</v>
      </c>
      <c r="U24" s="2"/>
      <c r="V24" s="19"/>
      <c r="W24" s="2"/>
      <c r="X24" s="2">
        <f t="shared" si="2"/>
        <v>-96685.09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--62874.2</f>
        <v>62874.2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62874.2</v>
      </c>
      <c r="M25" s="2"/>
      <c r="N25" s="19">
        <f t="shared" si="1"/>
        <v>0</v>
      </c>
      <c r="O25" s="11"/>
      <c r="P25" s="2">
        <f>--146258.74</f>
        <v>146258.74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146258.74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8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8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--160.95</f>
        <v>160.94999999999999</v>
      </c>
      <c r="I27" s="2"/>
      <c r="J27" s="19"/>
      <c r="K27" s="2"/>
      <c r="L27" s="2">
        <f t="shared" si="0"/>
        <v>-160.94999999999999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--2831.69</f>
        <v>2831.69</v>
      </c>
      <c r="U27" s="2"/>
      <c r="V27" s="19"/>
      <c r="W27" s="2"/>
      <c r="X27" s="2">
        <f t="shared" si="2"/>
        <v>-2831.69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 t="shared" si="7"/>
        <v>0</v>
      </c>
      <c r="E28" s="2"/>
      <c r="F28" s="19"/>
      <c r="G28" s="2"/>
      <c r="H28" s="2">
        <f>--1499.52</f>
        <v>1499.52</v>
      </c>
      <c r="I28" s="2"/>
      <c r="J28" s="19"/>
      <c r="K28" s="2"/>
      <c r="L28" s="2">
        <f t="shared" si="0"/>
        <v>-1499.52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--3648.28</f>
        <v>3648.28</v>
      </c>
      <c r="U28" s="2"/>
      <c r="V28" s="19"/>
      <c r="W28" s="2"/>
      <c r="X28" s="2">
        <f t="shared" si="2"/>
        <v>-3648.28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si="7"/>
        <v>0</v>
      </c>
      <c r="E29" s="2"/>
      <c r="F29" s="19"/>
      <c r="G29" s="2"/>
      <c r="H29" s="2">
        <f t="shared" ref="H29:H32" si="9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8"/>
        <v>0</v>
      </c>
      <c r="Q29" s="2"/>
      <c r="R29" s="19"/>
      <c r="S29" s="2"/>
      <c r="T29" s="2">
        <f>--22.49</f>
        <v>22.49</v>
      </c>
      <c r="U29" s="2"/>
      <c r="V29" s="19"/>
      <c r="W29" s="2"/>
      <c r="X29" s="2">
        <f t="shared" si="2"/>
        <v>-22.49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7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--80.71</f>
        <v>80.709999999999994</v>
      </c>
      <c r="U30" s="2"/>
      <c r="V30" s="19"/>
      <c r="W30" s="2"/>
      <c r="X30" s="2">
        <f t="shared" si="2"/>
        <v>-80.709999999999994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--45.53</f>
        <v>45.53</v>
      </c>
      <c r="U31" s="2"/>
      <c r="V31" s="19"/>
      <c r="W31" s="2"/>
      <c r="X31" s="2">
        <f t="shared" si="2"/>
        <v>-45.53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--59.25</f>
        <v>59.25</v>
      </c>
      <c r="U32" s="2"/>
      <c r="V32" s="19"/>
      <c r="W32" s="2"/>
      <c r="X32" s="2">
        <f t="shared" si="2"/>
        <v>-59.25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 t="shared" si="7"/>
        <v>0</v>
      </c>
      <c r="E33" s="2"/>
      <c r="F33" s="19"/>
      <c r="G33" s="2"/>
      <c r="H33" s="2">
        <f>--13113.14</f>
        <v>13113.14</v>
      </c>
      <c r="I33" s="2"/>
      <c r="J33" s="19"/>
      <c r="K33" s="2"/>
      <c r="L33" s="2">
        <f t="shared" si="0"/>
        <v>-13113.14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--30474.65</f>
        <v>30474.65</v>
      </c>
      <c r="U33" s="2"/>
      <c r="V33" s="19"/>
      <c r="W33" s="2"/>
      <c r="X33" s="2">
        <f t="shared" si="2"/>
        <v>-30474.65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 t="shared" si="7"/>
        <v>0</v>
      </c>
      <c r="E34" s="2"/>
      <c r="F34" s="19"/>
      <c r="G34" s="2"/>
      <c r="H34" s="2">
        <f>--383.71</f>
        <v>383.71</v>
      </c>
      <c r="I34" s="2"/>
      <c r="J34" s="19"/>
      <c r="K34" s="2"/>
      <c r="L34" s="2">
        <f t="shared" si="0"/>
        <v>-383.71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--2871.2</f>
        <v>2871.2</v>
      </c>
      <c r="U34" s="2"/>
      <c r="V34" s="19"/>
      <c r="W34" s="2"/>
      <c r="X34" s="2">
        <f t="shared" si="2"/>
        <v>-2871.2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 t="shared" si="7"/>
        <v>0</v>
      </c>
      <c r="E35" s="2"/>
      <c r="F35" s="19"/>
      <c r="G35" s="2"/>
      <c r="H35" s="2">
        <f>--65.68</f>
        <v>65.680000000000007</v>
      </c>
      <c r="I35" s="2"/>
      <c r="J35" s="19"/>
      <c r="K35" s="2"/>
      <c r="L35" s="2">
        <f t="shared" si="0"/>
        <v>-65.680000000000007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--1069.43</f>
        <v>1069.43</v>
      </c>
      <c r="U35" s="2"/>
      <c r="V35" s="19"/>
      <c r="W35" s="2"/>
      <c r="X35" s="2">
        <f t="shared" si="2"/>
        <v>-1069.43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 t="shared" si="7"/>
        <v>0</v>
      </c>
      <c r="E36" s="2"/>
      <c r="F36" s="19"/>
      <c r="G36" s="2"/>
      <c r="H36" s="2">
        <f>--9.99</f>
        <v>9.99</v>
      </c>
      <c r="I36" s="2"/>
      <c r="J36" s="19"/>
      <c r="K36" s="2"/>
      <c r="L36" s="2">
        <f t="shared" si="0"/>
        <v>-9.99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--29.97</f>
        <v>29.97</v>
      </c>
      <c r="U36" s="2"/>
      <c r="V36" s="19"/>
      <c r="W36" s="2"/>
      <c r="X36" s="2">
        <f t="shared" si="2"/>
        <v>-29.97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 t="shared" si="7"/>
        <v>0</v>
      </c>
      <c r="E37" s="2"/>
      <c r="F37" s="19"/>
      <c r="G37" s="2"/>
      <c r="H37" s="2">
        <f>--154</f>
        <v>154</v>
      </c>
      <c r="I37" s="2"/>
      <c r="J37" s="19"/>
      <c r="K37" s="2"/>
      <c r="L37" s="2">
        <f t="shared" si="0"/>
        <v>-154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--369.75</f>
        <v>369.75</v>
      </c>
      <c r="U37" s="2"/>
      <c r="V37" s="19"/>
      <c r="W37" s="2"/>
      <c r="X37" s="2">
        <f t="shared" si="2"/>
        <v>-369.75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si="7"/>
        <v>0</v>
      </c>
      <c r="E38" s="2"/>
      <c r="F38" s="19"/>
      <c r="G38" s="2"/>
      <c r="H38" s="2">
        <f t="shared" ref="H38:H40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8"/>
        <v>0</v>
      </c>
      <c r="Q38" s="2"/>
      <c r="R38" s="19"/>
      <c r="S38" s="2"/>
      <c r="T38" s="2">
        <f>--35839</f>
        <v>35839</v>
      </c>
      <c r="U38" s="2"/>
      <c r="V38" s="19"/>
      <c r="W38" s="2"/>
      <c r="X38" s="2">
        <f t="shared" si="2"/>
        <v>-35839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"4200", " - ", "TAXABLE RETURNS")</f>
        <v xml:space="preserve">          4200 - TAXABLE RETURNS</v>
      </c>
      <c r="C39" s="11"/>
      <c r="D39" s="2">
        <f>-8294.97</f>
        <v>-8294.9699999999993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-8294.9699999999993</v>
      </c>
      <c r="M39" s="2"/>
      <c r="N39" s="19">
        <f t="shared" si="1"/>
        <v>0</v>
      </c>
      <c r="O39" s="11"/>
      <c r="P39" s="2">
        <f>-29184.03</f>
        <v>-29184.03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-29184.03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ref="D40:D47" si="11">0</f>
        <v>0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ref="P40:P47" si="12">0</f>
        <v>0</v>
      </c>
      <c r="Q40" s="2"/>
      <c r="R40" s="19"/>
      <c r="S40" s="2"/>
      <c r="T40" s="2">
        <f>-6.38</f>
        <v>-6.38</v>
      </c>
      <c r="U40" s="2"/>
      <c r="V40" s="19"/>
      <c r="W40" s="2"/>
      <c r="X40" s="2">
        <f t="shared" si="2"/>
        <v>6.38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 t="shared" si="11"/>
        <v>0</v>
      </c>
      <c r="E41" s="2"/>
      <c r="F41" s="19"/>
      <c r="G41" s="2"/>
      <c r="H41" s="2">
        <f>-9.99</f>
        <v>-9.99</v>
      </c>
      <c r="I41" s="2"/>
      <c r="J41" s="19"/>
      <c r="K41" s="2"/>
      <c r="L41" s="2">
        <f t="shared" si="0"/>
        <v>9.99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-388.69</f>
        <v>-388.69</v>
      </c>
      <c r="U41" s="2"/>
      <c r="V41" s="19"/>
      <c r="W41" s="2"/>
      <c r="X41" s="2">
        <f t="shared" si="2"/>
        <v>388.69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 t="shared" si="11"/>
        <v>0</v>
      </c>
      <c r="E42" s="2"/>
      <c r="F42" s="19"/>
      <c r="G42" s="2"/>
      <c r="H42" s="2">
        <f>-1722.21</f>
        <v>-1722.21</v>
      </c>
      <c r="I42" s="2"/>
      <c r="J42" s="19"/>
      <c r="K42" s="2"/>
      <c r="L42" s="2">
        <f t="shared" si="0"/>
        <v>1722.21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-11428.29</f>
        <v>-11428.29</v>
      </c>
      <c r="U42" s="2"/>
      <c r="V42" s="19"/>
      <c r="W42" s="2"/>
      <c r="X42" s="2">
        <f t="shared" si="2"/>
        <v>11428.29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 t="shared" si="11"/>
        <v>0</v>
      </c>
      <c r="E43" s="2"/>
      <c r="F43" s="19"/>
      <c r="G43" s="2"/>
      <c r="H43" s="2">
        <f>-289.6</f>
        <v>-289.60000000000002</v>
      </c>
      <c r="I43" s="2"/>
      <c r="J43" s="19"/>
      <c r="K43" s="2"/>
      <c r="L43" s="2">
        <f t="shared" si="0"/>
        <v>289.60000000000002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-1756.36</f>
        <v>-1756.36</v>
      </c>
      <c r="U43" s="2"/>
      <c r="V43" s="19"/>
      <c r="W43" s="2"/>
      <c r="X43" s="2">
        <f t="shared" si="2"/>
        <v>1756.36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 t="shared" si="11"/>
        <v>0</v>
      </c>
      <c r="E44" s="2"/>
      <c r="F44" s="19"/>
      <c r="G44" s="2"/>
      <c r="H44" s="2">
        <f>-258.97</f>
        <v>-258.97000000000003</v>
      </c>
      <c r="I44" s="2"/>
      <c r="J44" s="19"/>
      <c r="K44" s="2"/>
      <c r="L44" s="2">
        <f t="shared" si="0"/>
        <v>258.97000000000003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-1209.71</f>
        <v>-1209.71</v>
      </c>
      <c r="U44" s="2"/>
      <c r="V44" s="19"/>
      <c r="W44" s="2"/>
      <c r="X44" s="2">
        <f t="shared" si="2"/>
        <v>1209.71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 t="shared" si="11"/>
        <v>0</v>
      </c>
      <c r="E45" s="2"/>
      <c r="F45" s="19"/>
      <c r="G45" s="2"/>
      <c r="H45" s="2">
        <f>-829.55</f>
        <v>-829.55</v>
      </c>
      <c r="I45" s="2"/>
      <c r="J45" s="19"/>
      <c r="K45" s="2"/>
      <c r="L45" s="2">
        <f t="shared" si="0"/>
        <v>829.55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-982.92</f>
        <v>-982.92</v>
      </c>
      <c r="U45" s="2"/>
      <c r="V45" s="19"/>
      <c r="W45" s="2"/>
      <c r="X45" s="2">
        <f t="shared" si="2"/>
        <v>982.92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 t="shared" si="11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2"/>
        <v>0</v>
      </c>
      <c r="Q46" s="2"/>
      <c r="R46" s="19"/>
      <c r="S46" s="2"/>
      <c r="T46" s="2">
        <f>-410.99</f>
        <v>-410.99</v>
      </c>
      <c r="U46" s="2"/>
      <c r="V46" s="19"/>
      <c r="W46" s="2"/>
      <c r="X46" s="2">
        <f t="shared" si="2"/>
        <v>410.99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 t="shared" si="11"/>
        <v>0</v>
      </c>
      <c r="E47" s="2"/>
      <c r="F47" s="19"/>
      <c r="G47" s="2"/>
      <c r="H47" s="2">
        <f>-363.98</f>
        <v>-363.98</v>
      </c>
      <c r="I47" s="2"/>
      <c r="J47" s="19"/>
      <c r="K47" s="2"/>
      <c r="L47" s="2">
        <f t="shared" si="0"/>
        <v>363.98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-1539.93</f>
        <v>-1539.93</v>
      </c>
      <c r="U47" s="2"/>
      <c r="V47" s="19"/>
      <c r="W47" s="2"/>
      <c r="X47" s="2">
        <f t="shared" si="2"/>
        <v>1539.93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"4300", " - ", "NON-TAX RETURNS")</f>
        <v xml:space="preserve">          4300 - NON-TAX RETURNS</v>
      </c>
      <c r="C48" s="11"/>
      <c r="D48" s="2">
        <f>-335.33</f>
        <v>-335.33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-335.33</v>
      </c>
      <c r="M48" s="2"/>
      <c r="N48" s="19">
        <f t="shared" si="1"/>
        <v>0</v>
      </c>
      <c r="O48" s="11"/>
      <c r="P48" s="2">
        <f>-894.31</f>
        <v>-894.31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-894.31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 t="shared" ref="D49:D51" si="13">0</f>
        <v>0</v>
      </c>
      <c r="E49" s="2"/>
      <c r="F49" s="19"/>
      <c r="G49" s="2"/>
      <c r="H49" s="2">
        <f>-195.69</f>
        <v>-195.69</v>
      </c>
      <c r="I49" s="2"/>
      <c r="J49" s="19"/>
      <c r="K49" s="2"/>
      <c r="L49" s="2">
        <f t="shared" si="0"/>
        <v>195.69</v>
      </c>
      <c r="M49" s="2"/>
      <c r="N49" s="19">
        <f t="shared" si="1"/>
        <v>-1</v>
      </c>
      <c r="O49" s="11"/>
      <c r="P49" s="2">
        <f t="shared" ref="P49:P51" si="14">0</f>
        <v>0</v>
      </c>
      <c r="Q49" s="2"/>
      <c r="R49" s="19"/>
      <c r="S49" s="2"/>
      <c r="T49" s="2">
        <f>-736.73</f>
        <v>-736.73</v>
      </c>
      <c r="U49" s="2"/>
      <c r="V49" s="19"/>
      <c r="W49" s="2"/>
      <c r="X49" s="2">
        <f t="shared" si="2"/>
        <v>736.73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si="13"/>
        <v>0</v>
      </c>
      <c r="E50" s="2"/>
      <c r="F50" s="19"/>
      <c r="G50" s="2"/>
      <c r="H50" s="2">
        <f t="shared" ref="H50:H52" si="15"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4"/>
        <v>0</v>
      </c>
      <c r="Q50" s="2"/>
      <c r="R50" s="19"/>
      <c r="S50" s="2"/>
      <c r="T50" s="2">
        <f>-146.9</f>
        <v>-146.9</v>
      </c>
      <c r="U50" s="2"/>
      <c r="V50" s="19"/>
      <c r="W50" s="2"/>
      <c r="X50" s="2">
        <f t="shared" si="2"/>
        <v>146.9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3"/>
        <v>0</v>
      </c>
      <c r="E51" s="2"/>
      <c r="F51" s="19"/>
      <c r="G51" s="2"/>
      <c r="H51" s="2">
        <f t="shared" si="15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14"/>
        <v>0</v>
      </c>
      <c r="Q51" s="2"/>
      <c r="R51" s="19"/>
      <c r="S51" s="2"/>
      <c r="T51" s="2">
        <f>-118.7</f>
        <v>-118.7</v>
      </c>
      <c r="U51" s="2"/>
      <c r="V51" s="19"/>
      <c r="W51" s="2"/>
      <c r="X51" s="2">
        <f t="shared" si="2"/>
        <v>118.7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"4500", " - ", "SALES DISCOUNT")</f>
        <v xml:space="preserve">          4500 - SALES DISCOUNT</v>
      </c>
      <c r="C52" s="11"/>
      <c r="D52" s="2">
        <f>-6586.45</f>
        <v>-6586.45</v>
      </c>
      <c r="E52" s="2"/>
      <c r="F52" s="19"/>
      <c r="G52" s="2"/>
      <c r="H52" s="2">
        <f t="shared" si="15"/>
        <v>0</v>
      </c>
      <c r="I52" s="2"/>
      <c r="J52" s="19"/>
      <c r="K52" s="2"/>
      <c r="L52" s="2">
        <f t="shared" si="0"/>
        <v>-6586.45</v>
      </c>
      <c r="M52" s="2"/>
      <c r="N52" s="19">
        <f t="shared" si="1"/>
        <v>0</v>
      </c>
      <c r="O52" s="11"/>
      <c r="P52" s="2">
        <f>-6586.45</f>
        <v>-6586.45</v>
      </c>
      <c r="Q52" s="2"/>
      <c r="R52" s="19"/>
      <c r="S52" s="2"/>
      <c r="T52" s="2">
        <f>0</f>
        <v>0</v>
      </c>
      <c r="U52" s="2"/>
      <c r="V52" s="19"/>
      <c r="W52" s="2"/>
      <c r="X52" s="2">
        <f t="shared" si="2"/>
        <v>-6586.45</v>
      </c>
      <c r="Y52" s="2"/>
      <c r="Z52" s="19">
        <f t="shared" si="3"/>
        <v>0</v>
      </c>
    </row>
    <row r="53" spans="1:26" x14ac:dyDescent="0.25">
      <c r="A53" s="9"/>
      <c r="B53" s="10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collapsed="1" x14ac:dyDescent="0.25">
      <c r="A54" s="10"/>
      <c r="B54" s="25" t="s">
        <v>256</v>
      </c>
      <c r="C54" s="10"/>
      <c r="D54" s="4">
        <f>SUM(OSRRefD16x_0)</f>
        <v>259592.27</v>
      </c>
      <c r="E54" s="4"/>
      <c r="F54" s="12">
        <f t="shared" ref="F54:F78" si="16">IF(D$12=0,0,D54/D$12)</f>
        <v>0.57728645936069178</v>
      </c>
      <c r="G54" s="4"/>
      <c r="H54" s="4">
        <f>SUM(OSRRefH16x_0)</f>
        <v>52899.000000000007</v>
      </c>
      <c r="I54" s="4"/>
      <c r="J54" s="12">
        <f t="shared" ref="J54:J78" si="17">IF(H$12=0,0,H54/H$12)</f>
        <v>0.54742735325772029</v>
      </c>
      <c r="K54" s="4"/>
      <c r="L54" s="4">
        <f t="shared" ref="L54:L78" si="18">+D54-H54</f>
        <v>206693.27</v>
      </c>
      <c r="M54" s="4"/>
      <c r="N54" s="12">
        <f t="shared" ref="N54:N78" si="19">IF(H54=0,0,L54/H54)</f>
        <v>3.9073190419478623</v>
      </c>
      <c r="O54" s="10"/>
      <c r="P54" s="4">
        <f>SUM(OSRRefP16x_0)</f>
        <v>624123.6</v>
      </c>
      <c r="Q54" s="4"/>
      <c r="R54" s="12">
        <f t="shared" ref="R54:R78" si="20">IF(P$12=0,0,P54/P$12)</f>
        <v>0.49746127397270556</v>
      </c>
      <c r="S54" s="4"/>
      <c r="T54" s="4">
        <f>SUM(OSRRefT16x_0)</f>
        <v>384173.54000000004</v>
      </c>
      <c r="U54" s="4"/>
      <c r="V54" s="12">
        <f t="shared" ref="V54:V78" si="21">IF(T$12=0,0,T54/T$12)</f>
        <v>0.61311256909242762</v>
      </c>
      <c r="W54" s="4"/>
      <c r="X54" s="4">
        <f t="shared" ref="X54:X78" si="22">+P54-T54</f>
        <v>239950.05999999994</v>
      </c>
      <c r="Y54" s="4"/>
      <c r="Z54" s="12">
        <f t="shared" ref="Z54:Z78" si="23">IF(T54=0,0,X54/T54)</f>
        <v>0.62458767982823571</v>
      </c>
    </row>
    <row r="55" spans="1:26" s="24" customFormat="1" hidden="1" outlineLevel="1" x14ac:dyDescent="0.25">
      <c r="A55" s="44"/>
      <c r="B55" s="11" t="str">
        <f>CONCATENATE("          ", "5000", " - ", "PURCHASES @ COST")</f>
        <v xml:space="preserve">          5000 - PURCHASES @ COST</v>
      </c>
      <c r="C55" s="11"/>
      <c r="D55" s="2">
        <v>445922.98</v>
      </c>
      <c r="E55" s="2"/>
      <c r="F55" s="19">
        <f t="shared" si="16"/>
        <v>0.99165240271510613</v>
      </c>
      <c r="G55" s="2"/>
      <c r="H55" s="2"/>
      <c r="I55" s="2"/>
      <c r="J55" s="19">
        <f t="shared" si="17"/>
        <v>0</v>
      </c>
      <c r="K55" s="2"/>
      <c r="L55" s="2">
        <f t="shared" si="18"/>
        <v>445922.98</v>
      </c>
      <c r="M55" s="2"/>
      <c r="N55" s="19">
        <f t="shared" si="19"/>
        <v>0</v>
      </c>
      <c r="O55" s="11"/>
      <c r="P55" s="2">
        <v>723761.77</v>
      </c>
      <c r="Q55" s="2"/>
      <c r="R55" s="19">
        <f t="shared" si="20"/>
        <v>0.57687844548249789</v>
      </c>
      <c r="S55" s="2"/>
      <c r="T55" s="2"/>
      <c r="U55" s="2"/>
      <c r="V55" s="19">
        <f t="shared" si="21"/>
        <v>0</v>
      </c>
      <c r="W55" s="2"/>
      <c r="X55" s="2">
        <f t="shared" si="22"/>
        <v>723761.77</v>
      </c>
      <c r="Y55" s="2"/>
      <c r="Z55" s="19">
        <f t="shared" si="23"/>
        <v>0</v>
      </c>
    </row>
    <row r="56" spans="1:26" s="24" customFormat="1" hidden="1" outlineLevel="1" x14ac:dyDescent="0.25">
      <c r="A56" s="44"/>
      <c r="B56" s="11" t="str">
        <f>CONCATENATE("          ", "5025", " - ", "PURCHASES @ COST-TEST FORMS")</f>
        <v xml:space="preserve">          5025 - PURCHASES @ COST-TEST FORMS</v>
      </c>
      <c r="C56" s="11"/>
      <c r="D56" s="2"/>
      <c r="E56" s="2"/>
      <c r="F56" s="19">
        <f t="shared" si="16"/>
        <v>0</v>
      </c>
      <c r="G56" s="2"/>
      <c r="H56" s="2">
        <v>599.29</v>
      </c>
      <c r="I56" s="2"/>
      <c r="J56" s="19">
        <f t="shared" si="17"/>
        <v>6.201775809255735E-3</v>
      </c>
      <c r="K56" s="2"/>
      <c r="L56" s="2">
        <f t="shared" si="18"/>
        <v>-599.29</v>
      </c>
      <c r="M56" s="2"/>
      <c r="N56" s="19">
        <f t="shared" si="19"/>
        <v>-1</v>
      </c>
      <c r="O56" s="11"/>
      <c r="P56" s="2"/>
      <c r="Q56" s="2"/>
      <c r="R56" s="19">
        <f t="shared" si="20"/>
        <v>0</v>
      </c>
      <c r="S56" s="2"/>
      <c r="T56" s="2">
        <v>599.29</v>
      </c>
      <c r="U56" s="2"/>
      <c r="V56" s="19">
        <f t="shared" si="21"/>
        <v>9.5642253636572913E-4</v>
      </c>
      <c r="W56" s="2"/>
      <c r="X56" s="2">
        <f t="shared" si="22"/>
        <v>-599.29</v>
      </c>
      <c r="Y56" s="2"/>
      <c r="Z56" s="19">
        <f t="shared" si="23"/>
        <v>-1</v>
      </c>
    </row>
    <row r="57" spans="1:26" s="24" customFormat="1" hidden="1" outlineLevel="1" x14ac:dyDescent="0.25">
      <c r="A57" s="44"/>
      <c r="B57" s="11" t="str">
        <f>CONCATENATE("          ", "5026", " - ", "PURCHASES @ COST-WRITING INSTR")</f>
        <v xml:space="preserve">          5026 - PURCHASES @ COST-WRITING INSTR</v>
      </c>
      <c r="C57" s="11"/>
      <c r="D57" s="2"/>
      <c r="E57" s="2"/>
      <c r="F57" s="19">
        <f t="shared" si="16"/>
        <v>0</v>
      </c>
      <c r="G57" s="2"/>
      <c r="H57" s="2">
        <v>10</v>
      </c>
      <c r="I57" s="2"/>
      <c r="J57" s="19">
        <f t="shared" si="17"/>
        <v>1.0348538786323375E-4</v>
      </c>
      <c r="K57" s="2"/>
      <c r="L57" s="2">
        <f t="shared" si="18"/>
        <v>-10</v>
      </c>
      <c r="M57" s="2"/>
      <c r="N57" s="19">
        <f t="shared" si="19"/>
        <v>-1</v>
      </c>
      <c r="O57" s="11"/>
      <c r="P57" s="2"/>
      <c r="Q57" s="2"/>
      <c r="R57" s="19">
        <f t="shared" si="20"/>
        <v>0</v>
      </c>
      <c r="S57" s="2"/>
      <c r="T57" s="2">
        <v>10</v>
      </c>
      <c r="U57" s="2"/>
      <c r="V57" s="19">
        <f t="shared" si="21"/>
        <v>1.5959260731294184E-5</v>
      </c>
      <c r="W57" s="2"/>
      <c r="X57" s="2">
        <f t="shared" si="22"/>
        <v>-10</v>
      </c>
      <c r="Y57" s="2"/>
      <c r="Z57" s="19">
        <f t="shared" si="23"/>
        <v>-1</v>
      </c>
    </row>
    <row r="58" spans="1:26" s="24" customFormat="1" hidden="1" outlineLevel="1" x14ac:dyDescent="0.25">
      <c r="A58" s="44"/>
      <c r="B58" s="11" t="str">
        <f>CONCATENATE("          ", "5027", " - ", "PURCHASES @ COST-SCHOOL SUPPLI")</f>
        <v xml:space="preserve">          5027 - PURCHASES @ COST-SCHOOL SUPPLI</v>
      </c>
      <c r="C58" s="11"/>
      <c r="D58" s="2"/>
      <c r="E58" s="2"/>
      <c r="F58" s="19">
        <f t="shared" si="16"/>
        <v>0</v>
      </c>
      <c r="G58" s="2"/>
      <c r="H58" s="2">
        <v>9672.48</v>
      </c>
      <c r="I58" s="2"/>
      <c r="J58" s="19">
        <f t="shared" si="17"/>
        <v>0.1000960344399371</v>
      </c>
      <c r="K58" s="2"/>
      <c r="L58" s="2">
        <f t="shared" si="18"/>
        <v>-9672.48</v>
      </c>
      <c r="M58" s="2"/>
      <c r="N58" s="19">
        <f t="shared" si="19"/>
        <v>-1</v>
      </c>
      <c r="O58" s="11"/>
      <c r="P58" s="2">
        <v>0</v>
      </c>
      <c r="Q58" s="2"/>
      <c r="R58" s="19">
        <f t="shared" si="20"/>
        <v>0</v>
      </c>
      <c r="S58" s="2"/>
      <c r="T58" s="2">
        <v>18175.88</v>
      </c>
      <c r="U58" s="2"/>
      <c r="V58" s="19">
        <f t="shared" si="21"/>
        <v>2.9007360794071534E-2</v>
      </c>
      <c r="W58" s="2"/>
      <c r="X58" s="2">
        <f t="shared" si="22"/>
        <v>-18175.88</v>
      </c>
      <c r="Y58" s="2"/>
      <c r="Z58" s="19">
        <f t="shared" si="23"/>
        <v>-1</v>
      </c>
    </row>
    <row r="59" spans="1:26" s="24" customFormat="1" hidden="1" outlineLevel="1" x14ac:dyDescent="0.25">
      <c r="A59" s="44"/>
      <c r="B59" s="11" t="str">
        <f>CONCATENATE("          ", "5028", " - ", "PURCHASES @ COST-ART/TECH")</f>
        <v xml:space="preserve">          5028 - PURCHASES @ COST-ART/TECH</v>
      </c>
      <c r="C59" s="11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1"/>
      <c r="P59" s="2">
        <v>0</v>
      </c>
      <c r="Q59" s="2"/>
      <c r="R59" s="19">
        <f t="shared" si="20"/>
        <v>0</v>
      </c>
      <c r="S59" s="2"/>
      <c r="T59" s="2">
        <v>-83.4</v>
      </c>
      <c r="U59" s="2"/>
      <c r="V59" s="19">
        <f t="shared" si="21"/>
        <v>-1.331002344989935E-4</v>
      </c>
      <c r="W59" s="2"/>
      <c r="X59" s="2">
        <f t="shared" si="22"/>
        <v>83.4</v>
      </c>
      <c r="Y59" s="2"/>
      <c r="Z59" s="19">
        <f t="shared" si="23"/>
        <v>-1</v>
      </c>
    </row>
    <row r="60" spans="1:26" s="24" customFormat="1" hidden="1" outlineLevel="1" x14ac:dyDescent="0.25">
      <c r="A60" s="44"/>
      <c r="B60" s="11" t="str">
        <f>CONCATENATE("          ", "5031", " - ", "PURCHASES @ COST-FOOD")</f>
        <v xml:space="preserve">          5031 - PURCHASES @ COST-FOOD</v>
      </c>
      <c r="C60" s="11"/>
      <c r="D60" s="2"/>
      <c r="E60" s="2"/>
      <c r="F60" s="19">
        <f t="shared" si="16"/>
        <v>0</v>
      </c>
      <c r="G60" s="2"/>
      <c r="H60" s="2">
        <v>4421.92</v>
      </c>
      <c r="I60" s="2"/>
      <c r="J60" s="19">
        <f t="shared" si="17"/>
        <v>4.5760410630019059E-2</v>
      </c>
      <c r="K60" s="2"/>
      <c r="L60" s="2">
        <f t="shared" si="18"/>
        <v>-4421.92</v>
      </c>
      <c r="M60" s="2"/>
      <c r="N60" s="19">
        <f t="shared" si="19"/>
        <v>-1</v>
      </c>
      <c r="O60" s="11"/>
      <c r="P60" s="2">
        <v>0</v>
      </c>
      <c r="Q60" s="2"/>
      <c r="R60" s="19">
        <f t="shared" si="20"/>
        <v>0</v>
      </c>
      <c r="S60" s="2"/>
      <c r="T60" s="2">
        <v>5605.43</v>
      </c>
      <c r="U60" s="2"/>
      <c r="V60" s="19">
        <f t="shared" si="21"/>
        <v>8.9458518881018363E-3</v>
      </c>
      <c r="W60" s="2"/>
      <c r="X60" s="2">
        <f t="shared" si="22"/>
        <v>-5605.43</v>
      </c>
      <c r="Y60" s="2"/>
      <c r="Z60" s="19">
        <f t="shared" si="23"/>
        <v>-1</v>
      </c>
    </row>
    <row r="61" spans="1:26" s="24" customFormat="1" hidden="1" outlineLevel="1" x14ac:dyDescent="0.25">
      <c r="A61" s="44"/>
      <c r="B61" s="11" t="str">
        <f>CONCATENATE("          ", "5040", " - ", "PURCHASES @ COST-LOGO CLOTHING")</f>
        <v xml:space="preserve">          5040 - PURCHASES @ COST-LOGO CLOTHING</v>
      </c>
      <c r="C61" s="11"/>
      <c r="D61" s="2"/>
      <c r="E61" s="2"/>
      <c r="F61" s="19">
        <f t="shared" si="16"/>
        <v>0</v>
      </c>
      <c r="G61" s="2"/>
      <c r="H61" s="2">
        <v>25420.9</v>
      </c>
      <c r="I61" s="2"/>
      <c r="J61" s="19">
        <f t="shared" si="17"/>
        <v>0.26306916963324789</v>
      </c>
      <c r="K61" s="2"/>
      <c r="L61" s="2">
        <f t="shared" si="18"/>
        <v>-25420.9</v>
      </c>
      <c r="M61" s="2"/>
      <c r="N61" s="19">
        <f t="shared" si="19"/>
        <v>-1</v>
      </c>
      <c r="O61" s="11"/>
      <c r="P61" s="2">
        <v>0</v>
      </c>
      <c r="Q61" s="2"/>
      <c r="R61" s="19">
        <f t="shared" si="20"/>
        <v>0</v>
      </c>
      <c r="S61" s="2"/>
      <c r="T61" s="2">
        <v>39170.949999999997</v>
      </c>
      <c r="U61" s="2"/>
      <c r="V61" s="19">
        <f t="shared" si="21"/>
        <v>6.2513940414248792E-2</v>
      </c>
      <c r="W61" s="2"/>
      <c r="X61" s="2">
        <f t="shared" si="22"/>
        <v>-39170.949999999997</v>
      </c>
      <c r="Y61" s="2"/>
      <c r="Z61" s="19">
        <f t="shared" si="23"/>
        <v>-1</v>
      </c>
    </row>
    <row r="62" spans="1:26" s="24" customFormat="1" hidden="1" outlineLevel="1" x14ac:dyDescent="0.25">
      <c r="A62" s="44"/>
      <c r="B62" s="11" t="str">
        <f>CONCATENATE("          ", "5041", " - ", "PURCHASES @ COST-LOGO GIFTS")</f>
        <v xml:space="preserve">          5041 - PURCHASES @ COST-LOGO GIFTS</v>
      </c>
      <c r="C62" s="11"/>
      <c r="D62" s="2"/>
      <c r="E62" s="2"/>
      <c r="F62" s="19">
        <f t="shared" si="16"/>
        <v>0</v>
      </c>
      <c r="G62" s="2"/>
      <c r="H62" s="2">
        <v>15082.2</v>
      </c>
      <c r="I62" s="2"/>
      <c r="J62" s="19">
        <f t="shared" si="17"/>
        <v>0.15607873168308639</v>
      </c>
      <c r="K62" s="2"/>
      <c r="L62" s="2">
        <f t="shared" si="18"/>
        <v>-15082.2</v>
      </c>
      <c r="M62" s="2"/>
      <c r="N62" s="19">
        <f t="shared" si="19"/>
        <v>-1</v>
      </c>
      <c r="O62" s="11"/>
      <c r="P62" s="2">
        <v>0</v>
      </c>
      <c r="Q62" s="2"/>
      <c r="R62" s="19">
        <f t="shared" si="20"/>
        <v>0</v>
      </c>
      <c r="S62" s="2"/>
      <c r="T62" s="2">
        <v>17079.740000000002</v>
      </c>
      <c r="U62" s="2"/>
      <c r="V62" s="19">
        <f t="shared" si="21"/>
        <v>2.7258002388271457E-2</v>
      </c>
      <c r="W62" s="2"/>
      <c r="X62" s="2">
        <f t="shared" si="22"/>
        <v>-17079.740000000002</v>
      </c>
      <c r="Y62" s="2"/>
      <c r="Z62" s="19">
        <f t="shared" si="23"/>
        <v>-1</v>
      </c>
    </row>
    <row r="63" spans="1:26" s="24" customFormat="1" hidden="1" outlineLevel="1" x14ac:dyDescent="0.25">
      <c r="A63" s="44"/>
      <c r="B63" s="11" t="str">
        <f>CONCATENATE("          ", "5042", " - ", "PURCHASES @ COST-EVERYDAY GIFT")</f>
        <v xml:space="preserve">          5042 - PURCHASES @ COST-EVERYDAY GIFT</v>
      </c>
      <c r="C63" s="11"/>
      <c r="D63" s="2"/>
      <c r="E63" s="2"/>
      <c r="F63" s="19">
        <f t="shared" si="16"/>
        <v>0</v>
      </c>
      <c r="G63" s="2"/>
      <c r="H63" s="2">
        <v>1475.49</v>
      </c>
      <c r="I63" s="2"/>
      <c r="J63" s="19">
        <f t="shared" si="17"/>
        <v>1.5269165493832275E-2</v>
      </c>
      <c r="K63" s="2"/>
      <c r="L63" s="2">
        <f t="shared" si="18"/>
        <v>-1475.49</v>
      </c>
      <c r="M63" s="2"/>
      <c r="N63" s="19">
        <f t="shared" si="19"/>
        <v>-1</v>
      </c>
      <c r="O63" s="11"/>
      <c r="P63" s="2">
        <v>0</v>
      </c>
      <c r="Q63" s="2"/>
      <c r="R63" s="19">
        <f t="shared" si="20"/>
        <v>0</v>
      </c>
      <c r="S63" s="2"/>
      <c r="T63" s="2">
        <v>2966.64</v>
      </c>
      <c r="U63" s="2"/>
      <c r="V63" s="19">
        <f t="shared" si="21"/>
        <v>4.7345381255886575E-3</v>
      </c>
      <c r="W63" s="2"/>
      <c r="X63" s="2">
        <f t="shared" si="22"/>
        <v>-2966.64</v>
      </c>
      <c r="Y63" s="2"/>
      <c r="Z63" s="19">
        <f t="shared" si="23"/>
        <v>-1</v>
      </c>
    </row>
    <row r="64" spans="1:26" s="24" customFormat="1" hidden="1" outlineLevel="1" x14ac:dyDescent="0.25">
      <c r="A64" s="44"/>
      <c r="B64" s="11" t="str">
        <f>CONCATENATE("          ", "5043", " - ", "PURCHASES @ COST-CARDS")</f>
        <v xml:space="preserve">          5043 - PURCHASES @ COST-CARDS</v>
      </c>
      <c r="C64" s="11"/>
      <c r="D64" s="2"/>
      <c r="E64" s="2"/>
      <c r="F64" s="19">
        <f t="shared" si="16"/>
        <v>0</v>
      </c>
      <c r="G64" s="2"/>
      <c r="H64" s="2">
        <v>2526.75</v>
      </c>
      <c r="I64" s="2"/>
      <c r="J64" s="19">
        <f t="shared" si="17"/>
        <v>2.6148170378342585E-2</v>
      </c>
      <c r="K64" s="2"/>
      <c r="L64" s="2">
        <f t="shared" si="18"/>
        <v>-2526.75</v>
      </c>
      <c r="M64" s="2"/>
      <c r="N64" s="19">
        <f t="shared" si="19"/>
        <v>-1</v>
      </c>
      <c r="O64" s="11"/>
      <c r="P64" s="2">
        <v>0</v>
      </c>
      <c r="Q64" s="2"/>
      <c r="R64" s="19">
        <f t="shared" si="20"/>
        <v>0</v>
      </c>
      <c r="S64" s="2"/>
      <c r="T64" s="2">
        <v>5643</v>
      </c>
      <c r="U64" s="2"/>
      <c r="V64" s="19">
        <f t="shared" si="21"/>
        <v>9.0058108306693072E-3</v>
      </c>
      <c r="W64" s="2"/>
      <c r="X64" s="2">
        <f t="shared" si="22"/>
        <v>-5643</v>
      </c>
      <c r="Y64" s="2"/>
      <c r="Z64" s="19">
        <f t="shared" si="23"/>
        <v>-1</v>
      </c>
    </row>
    <row r="65" spans="1:26" s="24" customFormat="1" hidden="1" outlineLevel="1" x14ac:dyDescent="0.25">
      <c r="A65" s="44"/>
      <c r="B65" s="11" t="str">
        <f>CONCATENATE("          ", "5044", " - ", "PURCHASES @ COST-ACCESSORIES")</f>
        <v xml:space="preserve">          5044 - PURCHASES @ COST-ACCESSORIES</v>
      </c>
      <c r="C65" s="11"/>
      <c r="D65" s="2"/>
      <c r="E65" s="2"/>
      <c r="F65" s="19">
        <f t="shared" si="16"/>
        <v>0</v>
      </c>
      <c r="G65" s="2"/>
      <c r="H65" s="2"/>
      <c r="I65" s="2"/>
      <c r="J65" s="19">
        <f t="shared" si="17"/>
        <v>0</v>
      </c>
      <c r="K65" s="2"/>
      <c r="L65" s="2">
        <f t="shared" si="18"/>
        <v>0</v>
      </c>
      <c r="M65" s="2"/>
      <c r="N65" s="19">
        <f t="shared" si="19"/>
        <v>0</v>
      </c>
      <c r="O65" s="11"/>
      <c r="P65" s="2">
        <v>0</v>
      </c>
      <c r="Q65" s="2"/>
      <c r="R65" s="19">
        <f t="shared" si="20"/>
        <v>0</v>
      </c>
      <c r="S65" s="2"/>
      <c r="T65" s="2"/>
      <c r="U65" s="2"/>
      <c r="V65" s="19">
        <f t="shared" si="21"/>
        <v>0</v>
      </c>
      <c r="W65" s="2"/>
      <c r="X65" s="2">
        <f t="shared" si="22"/>
        <v>0</v>
      </c>
      <c r="Y65" s="2"/>
      <c r="Z65" s="19">
        <f t="shared" si="23"/>
        <v>0</v>
      </c>
    </row>
    <row r="66" spans="1:26" s="24" customFormat="1" hidden="1" outlineLevel="1" x14ac:dyDescent="0.25">
      <c r="A66" s="44"/>
      <c r="B66" s="11" t="str">
        <f>CONCATENATE("          ", "5045", " - ", "PURCHASES @ COST-SPECIAL ORDER")</f>
        <v xml:space="preserve">          5045 - PURCHASES @ COST-SPECIAL ORDER</v>
      </c>
      <c r="C66" s="11"/>
      <c r="D66" s="2"/>
      <c r="E66" s="2"/>
      <c r="F66" s="19">
        <f t="shared" si="16"/>
        <v>0</v>
      </c>
      <c r="G66" s="2"/>
      <c r="H66" s="2">
        <v>10080.23</v>
      </c>
      <c r="I66" s="2"/>
      <c r="J66" s="19">
        <f t="shared" si="17"/>
        <v>0.10431565113006046</v>
      </c>
      <c r="K66" s="2"/>
      <c r="L66" s="2">
        <f t="shared" si="18"/>
        <v>-10080.23</v>
      </c>
      <c r="M66" s="2"/>
      <c r="N66" s="19">
        <f t="shared" si="19"/>
        <v>-1</v>
      </c>
      <c r="O66" s="11"/>
      <c r="P66" s="2">
        <v>0</v>
      </c>
      <c r="Q66" s="2"/>
      <c r="R66" s="19">
        <f t="shared" si="20"/>
        <v>0</v>
      </c>
      <c r="S66" s="2"/>
      <c r="T66" s="2">
        <v>71254.52</v>
      </c>
      <c r="U66" s="2"/>
      <c r="V66" s="19">
        <f t="shared" si="21"/>
        <v>0.11371694629632161</v>
      </c>
      <c r="W66" s="2"/>
      <c r="X66" s="2">
        <f t="shared" si="22"/>
        <v>-71254.52</v>
      </c>
      <c r="Y66" s="2"/>
      <c r="Z66" s="19">
        <f t="shared" si="23"/>
        <v>-1</v>
      </c>
    </row>
    <row r="67" spans="1:26" s="24" customFormat="1" hidden="1" outlineLevel="1" x14ac:dyDescent="0.25">
      <c r="A67" s="44"/>
      <c r="B67" s="11" t="str">
        <f>CONCATENATE("          ", "5200", " - ", "PURCHASES OFFSET")</f>
        <v xml:space="preserve">          5200 - PURCHASES OFFSET</v>
      </c>
      <c r="C67" s="11"/>
      <c r="D67" s="2">
        <v>-451294.36</v>
      </c>
      <c r="E67" s="2"/>
      <c r="F67" s="19">
        <f t="shared" si="16"/>
        <v>-1.0035973845209236</v>
      </c>
      <c r="G67" s="2"/>
      <c r="H67" s="2">
        <v>-71608.86</v>
      </c>
      <c r="I67" s="2"/>
      <c r="J67" s="19">
        <f t="shared" si="17"/>
        <v>-0.74104706515440044</v>
      </c>
      <c r="K67" s="2"/>
      <c r="L67" s="2">
        <f t="shared" si="18"/>
        <v>-379685.5</v>
      </c>
      <c r="M67" s="2"/>
      <c r="N67" s="19">
        <f t="shared" si="19"/>
        <v>5.3022139997760052</v>
      </c>
      <c r="O67" s="11"/>
      <c r="P67" s="2">
        <v>-736455.37</v>
      </c>
      <c r="Q67" s="2"/>
      <c r="R67" s="19">
        <f t="shared" si="20"/>
        <v>-0.58699595173814978</v>
      </c>
      <c r="S67" s="2"/>
      <c r="T67" s="2">
        <v>-165165.74</v>
      </c>
      <c r="U67" s="2"/>
      <c r="V67" s="19">
        <f t="shared" si="21"/>
        <v>-0.26359231085371448</v>
      </c>
      <c r="W67" s="2"/>
      <c r="X67" s="2">
        <f t="shared" si="22"/>
        <v>-571289.63</v>
      </c>
      <c r="Y67" s="2"/>
      <c r="Z67" s="19">
        <f t="shared" si="23"/>
        <v>3.4588869943609373</v>
      </c>
    </row>
    <row r="68" spans="1:26" s="24" customFormat="1" hidden="1" outlineLevel="1" x14ac:dyDescent="0.25">
      <c r="A68" s="44"/>
      <c r="B68" s="11" t="str">
        <f>CONCATENATE("          ", "5300", " - ", "COG$ OFFSET")</f>
        <v xml:space="preserve">          5300 - COG$ OFFSET</v>
      </c>
      <c r="C68" s="11"/>
      <c r="D68" s="2">
        <v>259592.27</v>
      </c>
      <c r="E68" s="2"/>
      <c r="F68" s="19">
        <f t="shared" si="16"/>
        <v>0.57728645936069178</v>
      </c>
      <c r="G68" s="2"/>
      <c r="H68" s="2">
        <v>52899</v>
      </c>
      <c r="I68" s="2"/>
      <c r="J68" s="19">
        <f t="shared" si="17"/>
        <v>0.54742735325772018</v>
      </c>
      <c r="K68" s="2"/>
      <c r="L68" s="2">
        <f t="shared" si="18"/>
        <v>206693.27</v>
      </c>
      <c r="M68" s="2"/>
      <c r="N68" s="19">
        <f t="shared" si="19"/>
        <v>3.9073190419478627</v>
      </c>
      <c r="O68" s="11"/>
      <c r="P68" s="2">
        <v>624123.6</v>
      </c>
      <c r="Q68" s="2"/>
      <c r="R68" s="19">
        <f t="shared" si="20"/>
        <v>0.49746127397270556</v>
      </c>
      <c r="S68" s="2"/>
      <c r="T68" s="2">
        <v>383257</v>
      </c>
      <c r="U68" s="2"/>
      <c r="V68" s="19">
        <f t="shared" si="21"/>
        <v>0.61164983900936154</v>
      </c>
      <c r="W68" s="2"/>
      <c r="X68" s="2">
        <f t="shared" si="22"/>
        <v>240866.59999999998</v>
      </c>
      <c r="Y68" s="2"/>
      <c r="Z68" s="19">
        <f t="shared" si="23"/>
        <v>0.62847280023587304</v>
      </c>
    </row>
    <row r="69" spans="1:26" s="24" customFormat="1" hidden="1" outlineLevel="1" x14ac:dyDescent="0.25">
      <c r="A69" s="44"/>
      <c r="B69" s="11" t="str">
        <f>CONCATENATE("          ", "5500", " - ", "FREIGHT-IN")</f>
        <v xml:space="preserve">          5500 - FREIGHT-IN</v>
      </c>
      <c r="C69" s="11"/>
      <c r="D69" s="2">
        <v>5371.38</v>
      </c>
      <c r="E69" s="2"/>
      <c r="F69" s="19">
        <f t="shared" si="16"/>
        <v>1.194498180581738E-2</v>
      </c>
      <c r="G69" s="2"/>
      <c r="H69" s="2"/>
      <c r="I69" s="2"/>
      <c r="J69" s="19">
        <f t="shared" si="17"/>
        <v>0</v>
      </c>
      <c r="K69" s="2"/>
      <c r="L69" s="2">
        <f t="shared" si="18"/>
        <v>5371.38</v>
      </c>
      <c r="M69" s="2"/>
      <c r="N69" s="19">
        <f t="shared" si="19"/>
        <v>0</v>
      </c>
      <c r="O69" s="11"/>
      <c r="P69" s="2">
        <v>12693.6</v>
      </c>
      <c r="Q69" s="2"/>
      <c r="R69" s="19">
        <f t="shared" si="20"/>
        <v>1.0117506255651823E-2</v>
      </c>
      <c r="S69" s="2"/>
      <c r="T69" s="2"/>
      <c r="U69" s="2"/>
      <c r="V69" s="19">
        <f t="shared" si="21"/>
        <v>0</v>
      </c>
      <c r="W69" s="2"/>
      <c r="X69" s="2">
        <f t="shared" si="22"/>
        <v>12693.6</v>
      </c>
      <c r="Y69" s="2"/>
      <c r="Z69" s="19">
        <f t="shared" si="23"/>
        <v>0</v>
      </c>
    </row>
    <row r="70" spans="1:26" s="24" customFormat="1" hidden="1" outlineLevel="1" x14ac:dyDescent="0.25">
      <c r="A70" s="44"/>
      <c r="B70" s="11" t="str">
        <f>CONCATENATE("          ", "5525", " - ", "FREIGHT-IN-TEST FORMS")</f>
        <v xml:space="preserve">          5525 - FREIGHT-IN-TEST FORMS</v>
      </c>
      <c r="C70" s="11"/>
      <c r="D70" s="2"/>
      <c r="E70" s="2"/>
      <c r="F70" s="19">
        <f t="shared" si="16"/>
        <v>0</v>
      </c>
      <c r="G70" s="2"/>
      <c r="H70" s="2">
        <v>48.14</v>
      </c>
      <c r="I70" s="2"/>
      <c r="J70" s="19">
        <f t="shared" si="17"/>
        <v>4.9817865717360725E-4</v>
      </c>
      <c r="K70" s="2"/>
      <c r="L70" s="2">
        <f t="shared" si="18"/>
        <v>-48.14</v>
      </c>
      <c r="M70" s="2"/>
      <c r="N70" s="19">
        <f t="shared" si="19"/>
        <v>-1</v>
      </c>
      <c r="O70" s="11"/>
      <c r="P70" s="2"/>
      <c r="Q70" s="2"/>
      <c r="R70" s="19">
        <f t="shared" si="20"/>
        <v>0</v>
      </c>
      <c r="S70" s="2"/>
      <c r="T70" s="2">
        <v>48.14</v>
      </c>
      <c r="U70" s="2"/>
      <c r="V70" s="19">
        <f t="shared" si="21"/>
        <v>7.6827881160450203E-5</v>
      </c>
      <c r="W70" s="2"/>
      <c r="X70" s="2">
        <f t="shared" si="22"/>
        <v>-48.14</v>
      </c>
      <c r="Y70" s="2"/>
      <c r="Z70" s="19">
        <f t="shared" si="23"/>
        <v>-1</v>
      </c>
    </row>
    <row r="71" spans="1:26" s="24" customFormat="1" hidden="1" outlineLevel="1" x14ac:dyDescent="0.25">
      <c r="A71" s="44"/>
      <c r="B71" s="11" t="str">
        <f>CONCATENATE("          ", "5527", " - ", "FREIGHT-IN-SCHOOL SUPPLIES")</f>
        <v xml:space="preserve">          5527 - FREIGHT-IN-SCHOOL SUPPLIES</v>
      </c>
      <c r="C71" s="11"/>
      <c r="D71" s="2"/>
      <c r="E71" s="2"/>
      <c r="F71" s="19">
        <f t="shared" si="16"/>
        <v>0</v>
      </c>
      <c r="G71" s="2"/>
      <c r="H71" s="2">
        <v>56</v>
      </c>
      <c r="I71" s="2"/>
      <c r="J71" s="19">
        <f t="shared" si="17"/>
        <v>5.7951817203410897E-4</v>
      </c>
      <c r="K71" s="2"/>
      <c r="L71" s="2">
        <f t="shared" si="18"/>
        <v>-56</v>
      </c>
      <c r="M71" s="2"/>
      <c r="N71" s="19">
        <f t="shared" si="19"/>
        <v>-1</v>
      </c>
      <c r="O71" s="11"/>
      <c r="P71" s="2">
        <v>0</v>
      </c>
      <c r="Q71" s="2"/>
      <c r="R71" s="19">
        <f t="shared" si="20"/>
        <v>0</v>
      </c>
      <c r="S71" s="2"/>
      <c r="T71" s="2">
        <v>56</v>
      </c>
      <c r="U71" s="2"/>
      <c r="V71" s="19">
        <f t="shared" si="21"/>
        <v>8.9371860095247433E-5</v>
      </c>
      <c r="W71" s="2"/>
      <c r="X71" s="2">
        <f t="shared" si="22"/>
        <v>-56</v>
      </c>
      <c r="Y71" s="2"/>
      <c r="Z71" s="19">
        <f t="shared" si="23"/>
        <v>-1</v>
      </c>
    </row>
    <row r="72" spans="1:26" s="24" customFormat="1" hidden="1" outlineLevel="1" x14ac:dyDescent="0.25">
      <c r="A72" s="44"/>
      <c r="B72" s="11" t="str">
        <f>CONCATENATE("          ", "5528", " - ", "FREIGHT-IN-ART/TECH")</f>
        <v xml:space="preserve">          5528 - FREIGHT-IN-ART/TECH</v>
      </c>
      <c r="C72" s="11"/>
      <c r="D72" s="2"/>
      <c r="E72" s="2"/>
      <c r="F72" s="19">
        <f t="shared" si="16"/>
        <v>0</v>
      </c>
      <c r="G72" s="2"/>
      <c r="H72" s="2">
        <v>3.94</v>
      </c>
      <c r="I72" s="2"/>
      <c r="J72" s="19">
        <f t="shared" si="17"/>
        <v>4.0773242818114097E-5</v>
      </c>
      <c r="K72" s="2"/>
      <c r="L72" s="2">
        <f t="shared" si="18"/>
        <v>-3.94</v>
      </c>
      <c r="M72" s="2"/>
      <c r="N72" s="19">
        <f t="shared" si="19"/>
        <v>-1</v>
      </c>
      <c r="O72" s="11"/>
      <c r="P72" s="2"/>
      <c r="Q72" s="2"/>
      <c r="R72" s="19">
        <f t="shared" si="20"/>
        <v>0</v>
      </c>
      <c r="S72" s="2"/>
      <c r="T72" s="2">
        <v>3.94</v>
      </c>
      <c r="U72" s="2"/>
      <c r="V72" s="19">
        <f t="shared" si="21"/>
        <v>6.2879487281299087E-6</v>
      </c>
      <c r="W72" s="2"/>
      <c r="X72" s="2">
        <f t="shared" si="22"/>
        <v>-3.94</v>
      </c>
      <c r="Y72" s="2"/>
      <c r="Z72" s="19">
        <f t="shared" si="23"/>
        <v>-1</v>
      </c>
    </row>
    <row r="73" spans="1:26" s="24" customFormat="1" hidden="1" outlineLevel="1" x14ac:dyDescent="0.25">
      <c r="A73" s="44"/>
      <c r="B73" s="11" t="str">
        <f>CONCATENATE("          ", "5540", " - ", "FREIGHT-IN-LOGO CLOTHING")</f>
        <v xml:space="preserve">          5540 - FREIGHT-IN-LOGO CLOTHING</v>
      </c>
      <c r="C73" s="11"/>
      <c r="D73" s="2"/>
      <c r="E73" s="2"/>
      <c r="F73" s="19">
        <f t="shared" si="16"/>
        <v>0</v>
      </c>
      <c r="G73" s="2"/>
      <c r="H73" s="2">
        <v>1036.57</v>
      </c>
      <c r="I73" s="2"/>
      <c r="J73" s="19">
        <f t="shared" si="17"/>
        <v>1.072698484973922E-2</v>
      </c>
      <c r="K73" s="2"/>
      <c r="L73" s="2">
        <f t="shared" si="18"/>
        <v>-1036.57</v>
      </c>
      <c r="M73" s="2"/>
      <c r="N73" s="19">
        <f t="shared" si="19"/>
        <v>-1</v>
      </c>
      <c r="O73" s="11"/>
      <c r="P73" s="2">
        <v>0</v>
      </c>
      <c r="Q73" s="2"/>
      <c r="R73" s="19">
        <f t="shared" si="20"/>
        <v>0</v>
      </c>
      <c r="S73" s="2"/>
      <c r="T73" s="2">
        <v>3202.33</v>
      </c>
      <c r="U73" s="2"/>
      <c r="V73" s="19">
        <f t="shared" si="21"/>
        <v>5.1106819417645307E-3</v>
      </c>
      <c r="W73" s="2"/>
      <c r="X73" s="2">
        <f t="shared" si="22"/>
        <v>-3202.33</v>
      </c>
      <c r="Y73" s="2"/>
      <c r="Z73" s="19">
        <f t="shared" si="23"/>
        <v>-1</v>
      </c>
    </row>
    <row r="74" spans="1:26" s="24" customFormat="1" hidden="1" outlineLevel="1" x14ac:dyDescent="0.25">
      <c r="A74" s="44"/>
      <c r="B74" s="11" t="str">
        <f>CONCATENATE("          ", "5541", " - ", "FREIGHT-IN-LOGO GIFTS")</f>
        <v xml:space="preserve">          5541 - FREIGHT-IN-LOGO GIFTS</v>
      </c>
      <c r="C74" s="11"/>
      <c r="D74" s="2"/>
      <c r="E74" s="2"/>
      <c r="F74" s="19">
        <f t="shared" si="16"/>
        <v>0</v>
      </c>
      <c r="G74" s="2"/>
      <c r="H74" s="2">
        <v>773.7</v>
      </c>
      <c r="I74" s="2"/>
      <c r="J74" s="19">
        <f t="shared" si="17"/>
        <v>8.0066644589783954E-3</v>
      </c>
      <c r="K74" s="2"/>
      <c r="L74" s="2">
        <f t="shared" si="18"/>
        <v>-773.7</v>
      </c>
      <c r="M74" s="2"/>
      <c r="N74" s="19">
        <f t="shared" si="19"/>
        <v>-1</v>
      </c>
      <c r="O74" s="11"/>
      <c r="P74" s="2">
        <v>0</v>
      </c>
      <c r="Q74" s="2"/>
      <c r="R74" s="19">
        <f t="shared" si="20"/>
        <v>0</v>
      </c>
      <c r="S74" s="2"/>
      <c r="T74" s="2">
        <v>1134.81</v>
      </c>
      <c r="U74" s="2"/>
      <c r="V74" s="19">
        <f t="shared" si="21"/>
        <v>1.8110728670479952E-3</v>
      </c>
      <c r="W74" s="2"/>
      <c r="X74" s="2">
        <f t="shared" si="22"/>
        <v>-1134.81</v>
      </c>
      <c r="Y74" s="2"/>
      <c r="Z74" s="19">
        <f t="shared" si="23"/>
        <v>-1</v>
      </c>
    </row>
    <row r="75" spans="1:26" s="24" customFormat="1" hidden="1" outlineLevel="1" x14ac:dyDescent="0.25">
      <c r="A75" s="44"/>
      <c r="B75" s="11" t="str">
        <f>CONCATENATE("          ", "5542", " - ", "FREIGHT-IN-EVERYDAY GIFTS")</f>
        <v xml:space="preserve">          5542 - FREIGHT-IN-EVERYDAY GIFTS</v>
      </c>
      <c r="C75" s="11"/>
      <c r="D75" s="2"/>
      <c r="E75" s="2"/>
      <c r="F75" s="19">
        <f t="shared" si="16"/>
        <v>0</v>
      </c>
      <c r="G75" s="2"/>
      <c r="H75" s="2">
        <v>104.17</v>
      </c>
      <c r="I75" s="2"/>
      <c r="J75" s="19">
        <f t="shared" si="17"/>
        <v>1.078007285371306E-3</v>
      </c>
      <c r="K75" s="2"/>
      <c r="L75" s="2">
        <f t="shared" si="18"/>
        <v>-104.17</v>
      </c>
      <c r="M75" s="2"/>
      <c r="N75" s="19">
        <f t="shared" si="19"/>
        <v>-1</v>
      </c>
      <c r="O75" s="11"/>
      <c r="P75" s="2">
        <v>0</v>
      </c>
      <c r="Q75" s="2"/>
      <c r="R75" s="19">
        <f t="shared" si="20"/>
        <v>0</v>
      </c>
      <c r="S75" s="2"/>
      <c r="T75" s="2">
        <v>175.55</v>
      </c>
      <c r="U75" s="2"/>
      <c r="V75" s="19">
        <f t="shared" si="21"/>
        <v>2.801648221378694E-4</v>
      </c>
      <c r="W75" s="2"/>
      <c r="X75" s="2">
        <f t="shared" si="22"/>
        <v>-175.55</v>
      </c>
      <c r="Y75" s="2"/>
      <c r="Z75" s="19">
        <f t="shared" si="23"/>
        <v>-1</v>
      </c>
    </row>
    <row r="76" spans="1:26" s="24" customFormat="1" hidden="1" outlineLevel="1" x14ac:dyDescent="0.25">
      <c r="A76" s="44"/>
      <c r="B76" s="11" t="str">
        <f>CONCATENATE("          ", "5543", " - ", "FREIGHT-IN-CARDS")</f>
        <v xml:space="preserve">          5543 - FREIGHT-IN-CARDS</v>
      </c>
      <c r="C76" s="11"/>
      <c r="D76" s="2"/>
      <c r="E76" s="2"/>
      <c r="F76" s="19">
        <f t="shared" si="16"/>
        <v>0</v>
      </c>
      <c r="G76" s="2"/>
      <c r="H76" s="2">
        <v>107.42</v>
      </c>
      <c r="I76" s="2"/>
      <c r="J76" s="19">
        <f t="shared" si="17"/>
        <v>1.1116400364268569E-3</v>
      </c>
      <c r="K76" s="2"/>
      <c r="L76" s="2">
        <f t="shared" si="18"/>
        <v>-107.42</v>
      </c>
      <c r="M76" s="2"/>
      <c r="N76" s="19">
        <f t="shared" si="19"/>
        <v>-1</v>
      </c>
      <c r="O76" s="11"/>
      <c r="P76" s="2"/>
      <c r="Q76" s="2"/>
      <c r="R76" s="19">
        <f t="shared" si="20"/>
        <v>0</v>
      </c>
      <c r="S76" s="2"/>
      <c r="T76" s="2">
        <v>189.19</v>
      </c>
      <c r="U76" s="2"/>
      <c r="V76" s="19">
        <f t="shared" si="21"/>
        <v>3.0193325377535468E-4</v>
      </c>
      <c r="W76" s="2"/>
      <c r="X76" s="2">
        <f t="shared" si="22"/>
        <v>-189.19</v>
      </c>
      <c r="Y76" s="2"/>
      <c r="Z76" s="19">
        <f t="shared" si="23"/>
        <v>-1</v>
      </c>
    </row>
    <row r="77" spans="1:26" s="24" customFormat="1" hidden="1" outlineLevel="1" x14ac:dyDescent="0.25">
      <c r="A77" s="44"/>
      <c r="B77" s="11" t="str">
        <f>CONCATENATE("          ", "5544", " - ", "FREIGHT-IN-ACCESSORIES")</f>
        <v xml:space="preserve">          5544 - FREIGHT-IN-ACCESSORIES</v>
      </c>
      <c r="C77" s="11"/>
      <c r="D77" s="2"/>
      <c r="E77" s="2"/>
      <c r="F77" s="19">
        <f t="shared" si="16"/>
        <v>0</v>
      </c>
      <c r="G77" s="2"/>
      <c r="H77" s="2"/>
      <c r="I77" s="2"/>
      <c r="J77" s="19">
        <f t="shared" si="17"/>
        <v>0</v>
      </c>
      <c r="K77" s="2"/>
      <c r="L77" s="2">
        <f t="shared" si="18"/>
        <v>0</v>
      </c>
      <c r="M77" s="2"/>
      <c r="N77" s="19">
        <f t="shared" si="19"/>
        <v>0</v>
      </c>
      <c r="O77" s="11"/>
      <c r="P77" s="2">
        <v>0</v>
      </c>
      <c r="Q77" s="2"/>
      <c r="R77" s="19">
        <f t="shared" si="20"/>
        <v>0</v>
      </c>
      <c r="S77" s="2"/>
      <c r="T77" s="2"/>
      <c r="U77" s="2"/>
      <c r="V77" s="19">
        <f t="shared" si="21"/>
        <v>0</v>
      </c>
      <c r="W77" s="2"/>
      <c r="X77" s="2">
        <f t="shared" si="22"/>
        <v>0</v>
      </c>
      <c r="Y77" s="2"/>
      <c r="Z77" s="19">
        <f t="shared" si="23"/>
        <v>0</v>
      </c>
    </row>
    <row r="78" spans="1:26" s="24" customFormat="1" hidden="1" outlineLevel="1" x14ac:dyDescent="0.25">
      <c r="A78" s="44"/>
      <c r="B78" s="11" t="str">
        <f>CONCATENATE("          ", "5545", " - ", "FREIGHT-IN-SPECIAL ORDERS")</f>
        <v xml:space="preserve">          5545 - FREIGHT-IN-SPECIAL ORDERS</v>
      </c>
      <c r="C78" s="11"/>
      <c r="D78" s="2"/>
      <c r="E78" s="2"/>
      <c r="F78" s="19">
        <f t="shared" si="16"/>
        <v>0</v>
      </c>
      <c r="G78" s="2"/>
      <c r="H78" s="2">
        <v>189.66</v>
      </c>
      <c r="I78" s="2"/>
      <c r="J78" s="19">
        <f t="shared" si="17"/>
        <v>1.962703866214091E-3</v>
      </c>
      <c r="K78" s="2"/>
      <c r="L78" s="2">
        <f t="shared" si="18"/>
        <v>-189.66</v>
      </c>
      <c r="M78" s="2"/>
      <c r="N78" s="19">
        <f t="shared" si="19"/>
        <v>-1</v>
      </c>
      <c r="O78" s="11"/>
      <c r="P78" s="2">
        <v>0</v>
      </c>
      <c r="Q78" s="2"/>
      <c r="R78" s="19">
        <f t="shared" si="20"/>
        <v>0</v>
      </c>
      <c r="S78" s="2"/>
      <c r="T78" s="2">
        <v>850.27</v>
      </c>
      <c r="U78" s="2"/>
      <c r="V78" s="19">
        <f t="shared" si="21"/>
        <v>1.3569680621997506E-3</v>
      </c>
      <c r="W78" s="2"/>
      <c r="X78" s="2">
        <f t="shared" si="22"/>
        <v>-850.27</v>
      </c>
      <c r="Y78" s="2"/>
      <c r="Z78" s="19">
        <f t="shared" si="23"/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107</v>
      </c>
      <c r="C80" s="26"/>
      <c r="D80" s="22">
        <f>D12-D54</f>
        <v>190084.43000000002</v>
      </c>
      <c r="E80" s="13"/>
      <c r="F80" s="20">
        <f>IF(D$12=0,0,D80/D$12)</f>
        <v>0.42271354063930822</v>
      </c>
      <c r="G80" s="13"/>
      <c r="H80" s="22">
        <f>H12-H54</f>
        <v>43732.999999999964</v>
      </c>
      <c r="I80" s="13"/>
      <c r="J80" s="20">
        <f>IF(H$12=0,0,H80/H$12)</f>
        <v>0.45257264674227976</v>
      </c>
      <c r="K80" s="15"/>
      <c r="L80" s="22">
        <f>+D80-H80</f>
        <v>146351.43000000005</v>
      </c>
      <c r="M80" s="15"/>
      <c r="N80" s="20">
        <f>IF(H80=0,0,L80/H80)</f>
        <v>3.346475887773539</v>
      </c>
      <c r="O80" s="25"/>
      <c r="P80" s="22">
        <f>P12-P54</f>
        <v>630493.86</v>
      </c>
      <c r="Q80" s="13"/>
      <c r="R80" s="20">
        <f>IF(P$12=0,0,P80/P$12)</f>
        <v>0.50253872602729444</v>
      </c>
      <c r="S80" s="13"/>
      <c r="T80" s="22">
        <f>T12-T54</f>
        <v>242421.89999999991</v>
      </c>
      <c r="U80" s="13"/>
      <c r="V80" s="20">
        <f>IF(T$12=0,0,T80/T$12)</f>
        <v>0.38688743090757238</v>
      </c>
      <c r="W80" s="15"/>
      <c r="X80" s="22">
        <f>+P80-T80</f>
        <v>388071.96000000008</v>
      </c>
      <c r="Y80" s="15"/>
      <c r="Z80" s="20">
        <f>IF(T80=0,0,X80/T80)</f>
        <v>1.6008123028488772</v>
      </c>
    </row>
    <row r="81" spans="1:26" x14ac:dyDescent="0.25">
      <c r="A81" s="9"/>
      <c r="B81" s="10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5" t="s">
        <v>294</v>
      </c>
      <c r="C82" s="10"/>
      <c r="D82" s="21">
        <f>SUM(OSRRefD22x_0)</f>
        <v>87608.650000000009</v>
      </c>
      <c r="E82" s="21"/>
      <c r="F82" s="36">
        <f t="shared" ref="F82:F91" si="24">IF(D$12=0,0,D82/D$12)</f>
        <v>0.19482586044596042</v>
      </c>
      <c r="G82" s="21"/>
      <c r="H82" s="21">
        <f>SUM(OSRRefH22x_0)</f>
        <v>53063.6</v>
      </c>
      <c r="I82" s="21"/>
      <c r="J82" s="36">
        <f t="shared" ref="J82:J91" si="25">IF(H$12=0,0,H82/H$12)</f>
        <v>0.54913072274194896</v>
      </c>
      <c r="K82" s="4"/>
      <c r="L82" s="21">
        <f t="shared" ref="L82:L91" si="26">+D82-H82</f>
        <v>34545.05000000001</v>
      </c>
      <c r="M82" s="4"/>
      <c r="N82" s="36">
        <f t="shared" ref="N82:N91" si="27">IF(H82=0,0,L82/H82)</f>
        <v>0.65101218160848517</v>
      </c>
      <c r="O82" s="10"/>
      <c r="P82" s="21">
        <f>SUM(OSRRefP22x_0)</f>
        <v>319916.98999999993</v>
      </c>
      <c r="Q82" s="21"/>
      <c r="R82" s="36">
        <f t="shared" ref="R82:R91" si="28">IF(P$12=0,0,P82/P$12)</f>
        <v>0.25499166096413162</v>
      </c>
      <c r="S82" s="21"/>
      <c r="T82" s="21">
        <f>SUM(OSRRefT22x_0)</f>
        <v>199967.35999999996</v>
      </c>
      <c r="U82" s="21"/>
      <c r="V82" s="36">
        <f t="shared" ref="V82:V91" si="29">IF(T$12=0,0,T82/T$12)</f>
        <v>0.31913312359885665</v>
      </c>
      <c r="W82" s="4"/>
      <c r="X82" s="21">
        <f t="shared" ref="X82:X91" si="30">+P82-T82</f>
        <v>119949.62999999998</v>
      </c>
      <c r="Y82" s="4"/>
      <c r="Z82" s="36">
        <f t="shared" ref="Z82:Z91" si="31">IF(T82=0,0,X82/T82)</f>
        <v>0.59984604487452353</v>
      </c>
    </row>
    <row r="83" spans="1:26" s="28" customFormat="1" outlineLevel="1" collapsed="1" x14ac:dyDescent="0.25">
      <c r="A83" s="27"/>
      <c r="B83" s="14" t="str">
        <f>CONCATENATE("     ","*Benefits                                         ")</f>
        <v xml:space="preserve">     *Benefits                                         </v>
      </c>
      <c r="C83" s="14"/>
      <c r="D83" s="1">
        <f>SUM(OSRRefD22_0x_0)</f>
        <v>15766.84</v>
      </c>
      <c r="E83" s="1"/>
      <c r="F83" s="5">
        <f t="shared" si="24"/>
        <v>3.5062612761568475E-2</v>
      </c>
      <c r="G83" s="1"/>
      <c r="H83" s="1">
        <f>SUM(OSRRefH22_0x_0)</f>
        <v>9376.01</v>
      </c>
      <c r="I83" s="1"/>
      <c r="J83" s="5">
        <f t="shared" si="25"/>
        <v>9.7028003145955818E-2</v>
      </c>
      <c r="K83" s="1"/>
      <c r="L83" s="1">
        <f t="shared" si="26"/>
        <v>6390.83</v>
      </c>
      <c r="M83" s="1"/>
      <c r="N83" s="5">
        <f t="shared" si="27"/>
        <v>0.68161510066648823</v>
      </c>
      <c r="O83" s="14"/>
      <c r="P83" s="1">
        <f>SUM(OSRRefP22_0x_0)</f>
        <v>54164.289999999994</v>
      </c>
      <c r="Q83" s="1"/>
      <c r="R83" s="5">
        <f t="shared" si="28"/>
        <v>4.3171956175390699E-2</v>
      </c>
      <c r="S83" s="1"/>
      <c r="T83" s="1">
        <f>SUM(OSRRefT22_0x_0)</f>
        <v>42607.72</v>
      </c>
      <c r="U83" s="1"/>
      <c r="V83" s="5">
        <f t="shared" si="29"/>
        <v>6.7998771264597788E-2</v>
      </c>
      <c r="W83" s="1"/>
      <c r="X83" s="1">
        <f t="shared" si="30"/>
        <v>11556.569999999992</v>
      </c>
      <c r="Y83" s="1"/>
      <c r="Z83" s="5">
        <f t="shared" si="31"/>
        <v>0.27123183310442317</v>
      </c>
    </row>
    <row r="84" spans="1:26" s="24" customFormat="1" hidden="1" outlineLevel="2" x14ac:dyDescent="0.25">
      <c r="A84" s="29"/>
      <c r="B84" s="11" t="str">
        <f>CONCATENATE("          ", "6111", " - ", "F.I.C.A.")</f>
        <v xml:space="preserve">          6111 - F.I.C.A.</v>
      </c>
      <c r="C84" s="11"/>
      <c r="D84" s="6">
        <v>2869.48</v>
      </c>
      <c r="E84" s="2"/>
      <c r="F84" s="7">
        <f t="shared" si="24"/>
        <v>6.3812067647712233E-3</v>
      </c>
      <c r="G84" s="2"/>
      <c r="H84" s="6">
        <v>2370.91</v>
      </c>
      <c r="I84" s="2"/>
      <c r="J84" s="7">
        <f t="shared" si="25"/>
        <v>2.4535454093881949E-2</v>
      </c>
      <c r="K84" s="2"/>
      <c r="L84" s="6">
        <f t="shared" si="26"/>
        <v>498.57000000000016</v>
      </c>
      <c r="M84" s="2"/>
      <c r="N84" s="7">
        <f t="shared" si="27"/>
        <v>0.21028634574910063</v>
      </c>
      <c r="O84" s="11"/>
      <c r="P84" s="6">
        <v>11699.24</v>
      </c>
      <c r="Q84" s="2"/>
      <c r="R84" s="7">
        <f t="shared" si="28"/>
        <v>9.3249459480661146E-3</v>
      </c>
      <c r="S84" s="2"/>
      <c r="T84" s="6">
        <v>10989.37</v>
      </c>
      <c r="U84" s="2"/>
      <c r="V84" s="7">
        <f t="shared" si="29"/>
        <v>1.7538222110266236E-2</v>
      </c>
      <c r="W84" s="2"/>
      <c r="X84" s="6">
        <f t="shared" si="30"/>
        <v>709.86999999999898</v>
      </c>
      <c r="Y84" s="2"/>
      <c r="Z84" s="7">
        <f t="shared" si="31"/>
        <v>6.4596059646731249E-2</v>
      </c>
    </row>
    <row r="85" spans="1:26" s="24" customFormat="1" hidden="1" outlineLevel="2" x14ac:dyDescent="0.25">
      <c r="A85" s="29"/>
      <c r="B85" s="11" t="str">
        <f>CONCATENATE("          ", "6112", " - ", "COMPENSATION INSURANCE")</f>
        <v xml:space="preserve">          6112 - COMPENSATION INSURANCE</v>
      </c>
      <c r="C85" s="11"/>
      <c r="D85" s="6">
        <v>1193.6300000000001</v>
      </c>
      <c r="E85" s="2"/>
      <c r="F85" s="7">
        <f t="shared" si="24"/>
        <v>2.6544181630936184E-3</v>
      </c>
      <c r="G85" s="2"/>
      <c r="H85" s="6">
        <v>500.44</v>
      </c>
      <c r="I85" s="2"/>
      <c r="J85" s="7">
        <f t="shared" si="25"/>
        <v>5.1788227502276695E-3</v>
      </c>
      <c r="K85" s="2"/>
      <c r="L85" s="6">
        <f t="shared" si="26"/>
        <v>693.19</v>
      </c>
      <c r="M85" s="2"/>
      <c r="N85" s="7">
        <f t="shared" si="27"/>
        <v>1.3851610582687237</v>
      </c>
      <c r="O85" s="11"/>
      <c r="P85" s="6">
        <v>3578.56</v>
      </c>
      <c r="Q85" s="2"/>
      <c r="R85" s="7">
        <f t="shared" si="28"/>
        <v>2.8523116520313692E-3</v>
      </c>
      <c r="S85" s="2"/>
      <c r="T85" s="6">
        <v>3928.65</v>
      </c>
      <c r="U85" s="2"/>
      <c r="V85" s="7">
        <f t="shared" si="29"/>
        <v>6.2698349671998898E-3</v>
      </c>
      <c r="W85" s="2"/>
      <c r="X85" s="6">
        <f t="shared" si="30"/>
        <v>-350.09000000000015</v>
      </c>
      <c r="Y85" s="2"/>
      <c r="Z85" s="7">
        <f t="shared" si="31"/>
        <v>-8.9112035941099399E-2</v>
      </c>
    </row>
    <row r="86" spans="1:26" s="24" customFormat="1" hidden="1" outlineLevel="2" x14ac:dyDescent="0.25">
      <c r="A86" s="29"/>
      <c r="B86" s="11" t="str">
        <f>CONCATENATE("          ", "6113", " - ", "GROUP INSURANCE")</f>
        <v xml:space="preserve">          6113 - GROUP INSURANCE</v>
      </c>
      <c r="C86" s="11"/>
      <c r="D86" s="6">
        <v>4284.43</v>
      </c>
      <c r="E86" s="2"/>
      <c r="F86" s="7">
        <f t="shared" si="24"/>
        <v>9.5278007510729377E-3</v>
      </c>
      <c r="G86" s="2"/>
      <c r="H86" s="6">
        <v>2826.13</v>
      </c>
      <c r="I86" s="2"/>
      <c r="J86" s="7">
        <f t="shared" si="25"/>
        <v>2.9246315920192077E-2</v>
      </c>
      <c r="K86" s="2"/>
      <c r="L86" s="6">
        <f t="shared" si="26"/>
        <v>1458.3000000000002</v>
      </c>
      <c r="M86" s="2"/>
      <c r="N86" s="7">
        <f t="shared" si="27"/>
        <v>0.51600598698573674</v>
      </c>
      <c r="O86" s="11"/>
      <c r="P86" s="6">
        <v>17160.22</v>
      </c>
      <c r="Q86" s="2"/>
      <c r="R86" s="7">
        <f t="shared" si="28"/>
        <v>1.3677651194173562E-2</v>
      </c>
      <c r="S86" s="2"/>
      <c r="T86" s="6">
        <v>12140.74</v>
      </c>
      <c r="U86" s="2"/>
      <c r="V86" s="7">
        <f t="shared" si="29"/>
        <v>1.9375723513085256E-2</v>
      </c>
      <c r="W86" s="2"/>
      <c r="X86" s="6">
        <f t="shared" si="30"/>
        <v>5019.4800000000014</v>
      </c>
      <c r="Y86" s="2"/>
      <c r="Z86" s="7">
        <f t="shared" si="31"/>
        <v>0.4134410258353281</v>
      </c>
    </row>
    <row r="87" spans="1:26" s="24" customFormat="1" hidden="1" outlineLevel="2" x14ac:dyDescent="0.25">
      <c r="A87" s="29"/>
      <c r="B87" s="11" t="str">
        <f>CONCATENATE("          ", "6114", " - ", "STATE UNEMPLOYMENT INSURANCE")</f>
        <v xml:space="preserve">          6114 - STATE UNEMPLOYMENT INSURANCE</v>
      </c>
      <c r="C87" s="11"/>
      <c r="D87" s="6">
        <v>209.69</v>
      </c>
      <c r="E87" s="2"/>
      <c r="F87" s="7">
        <f t="shared" si="24"/>
        <v>4.6631279761659878E-4</v>
      </c>
      <c r="G87" s="2"/>
      <c r="H87" s="6">
        <v>70.33</v>
      </c>
      <c r="I87" s="2"/>
      <c r="J87" s="7">
        <f t="shared" si="25"/>
        <v>7.2781273284212291E-4</v>
      </c>
      <c r="K87" s="2"/>
      <c r="L87" s="6">
        <f t="shared" si="26"/>
        <v>139.36000000000001</v>
      </c>
      <c r="M87" s="2"/>
      <c r="N87" s="7">
        <f t="shared" si="27"/>
        <v>1.9815157116451019</v>
      </c>
      <c r="O87" s="11"/>
      <c r="P87" s="6">
        <v>628.66</v>
      </c>
      <c r="Q87" s="2"/>
      <c r="R87" s="7">
        <f t="shared" si="28"/>
        <v>5.0107703745809495E-4</v>
      </c>
      <c r="S87" s="2"/>
      <c r="T87" s="6">
        <v>378.36</v>
      </c>
      <c r="U87" s="2"/>
      <c r="V87" s="7">
        <f t="shared" si="29"/>
        <v>6.0383458902924674E-4</v>
      </c>
      <c r="W87" s="2"/>
      <c r="X87" s="6">
        <f t="shared" si="30"/>
        <v>250.29999999999995</v>
      </c>
      <c r="Y87" s="2"/>
      <c r="Z87" s="7">
        <f t="shared" si="31"/>
        <v>0.66153927476477414</v>
      </c>
    </row>
    <row r="88" spans="1:26" s="24" customFormat="1" hidden="1" outlineLevel="2" x14ac:dyDescent="0.25">
      <c r="A88" s="29"/>
      <c r="B88" s="11" t="str">
        <f>CONCATENATE("          ", "6115", " - ", "P.E.R.S.")</f>
        <v xml:space="preserve">          6115 - P.E.R.S.</v>
      </c>
      <c r="C88" s="11"/>
      <c r="D88" s="6">
        <v>2235.89</v>
      </c>
      <c r="E88" s="2"/>
      <c r="F88" s="7">
        <f t="shared" si="24"/>
        <v>4.9722167059133814E-3</v>
      </c>
      <c r="G88" s="2"/>
      <c r="H88" s="6">
        <v>1018.93</v>
      </c>
      <c r="I88" s="2"/>
      <c r="J88" s="7">
        <f t="shared" si="25"/>
        <v>1.0544436625548475E-2</v>
      </c>
      <c r="K88" s="2"/>
      <c r="L88" s="6">
        <f t="shared" si="26"/>
        <v>1216.96</v>
      </c>
      <c r="M88" s="2"/>
      <c r="N88" s="7">
        <f t="shared" si="27"/>
        <v>1.1943509367670009</v>
      </c>
      <c r="O88" s="11"/>
      <c r="P88" s="6">
        <v>6707.66</v>
      </c>
      <c r="Q88" s="2"/>
      <c r="R88" s="7">
        <f t="shared" si="28"/>
        <v>5.3463786483570856E-3</v>
      </c>
      <c r="S88" s="2"/>
      <c r="T88" s="6">
        <v>5817.36</v>
      </c>
      <c r="U88" s="2"/>
      <c r="V88" s="7">
        <f t="shared" si="29"/>
        <v>9.2840765007801522E-3</v>
      </c>
      <c r="W88" s="2"/>
      <c r="X88" s="6">
        <f t="shared" si="30"/>
        <v>890.30000000000018</v>
      </c>
      <c r="Y88" s="2"/>
      <c r="Z88" s="7">
        <f t="shared" si="31"/>
        <v>0.1530419296725663</v>
      </c>
    </row>
    <row r="89" spans="1:26" s="24" customFormat="1" hidden="1" outlineLevel="2" x14ac:dyDescent="0.25">
      <c r="A89" s="29"/>
      <c r="B89" s="11" t="str">
        <f>CONCATENATE("          ", "6118", " - ", "VACATION")</f>
        <v xml:space="preserve">          6118 - VACATION</v>
      </c>
      <c r="C89" s="11"/>
      <c r="D89" s="6">
        <v>2438.8200000000002</v>
      </c>
      <c r="E89" s="2"/>
      <c r="F89" s="7">
        <f t="shared" si="24"/>
        <v>5.4234964809161783E-3</v>
      </c>
      <c r="G89" s="2"/>
      <c r="H89" s="6">
        <v>1209.6500000000001</v>
      </c>
      <c r="I89" s="2"/>
      <c r="J89" s="7">
        <f t="shared" si="25"/>
        <v>1.251810994287607E-2</v>
      </c>
      <c r="K89" s="2"/>
      <c r="L89" s="6">
        <f t="shared" si="26"/>
        <v>1229.17</v>
      </c>
      <c r="M89" s="2"/>
      <c r="N89" s="7">
        <f t="shared" si="27"/>
        <v>1.0161368991030464</v>
      </c>
      <c r="O89" s="11"/>
      <c r="P89" s="6">
        <v>7185.31</v>
      </c>
      <c r="Q89" s="2"/>
      <c r="R89" s="7">
        <f t="shared" si="28"/>
        <v>5.7270923042948892E-3</v>
      </c>
      <c r="S89" s="2"/>
      <c r="T89" s="6">
        <v>4669.99</v>
      </c>
      <c r="U89" s="2"/>
      <c r="V89" s="7">
        <f t="shared" si="29"/>
        <v>7.4529588022536524E-3</v>
      </c>
      <c r="W89" s="2"/>
      <c r="X89" s="6">
        <f t="shared" si="30"/>
        <v>2515.3200000000006</v>
      </c>
      <c r="Y89" s="2"/>
      <c r="Z89" s="7">
        <f t="shared" si="31"/>
        <v>0.53861357304833646</v>
      </c>
    </row>
    <row r="90" spans="1:26" s="24" customFormat="1" hidden="1" outlineLevel="2" x14ac:dyDescent="0.25">
      <c r="A90" s="29"/>
      <c r="B90" s="11" t="str">
        <f>CONCATENATE("          ", "6119", " - ", "SICK LEAVE")</f>
        <v xml:space="preserve">          6119 - SICK LEAVE</v>
      </c>
      <c r="C90" s="11"/>
      <c r="D90" s="6">
        <v>1599.6</v>
      </c>
      <c r="E90" s="2"/>
      <c r="F90" s="7">
        <f t="shared" si="24"/>
        <v>3.557222333289672E-3</v>
      </c>
      <c r="G90" s="2"/>
      <c r="H90" s="6">
        <v>1021.86</v>
      </c>
      <c r="I90" s="2"/>
      <c r="J90" s="7">
        <f t="shared" si="25"/>
        <v>1.0574757844192404E-2</v>
      </c>
      <c r="K90" s="2"/>
      <c r="L90" s="6">
        <f t="shared" si="26"/>
        <v>577.7399999999999</v>
      </c>
      <c r="M90" s="2"/>
      <c r="N90" s="7">
        <f t="shared" si="27"/>
        <v>0.56538077623157756</v>
      </c>
      <c r="O90" s="11"/>
      <c r="P90" s="6">
        <v>4798.8</v>
      </c>
      <c r="Q90" s="2"/>
      <c r="R90" s="7">
        <f t="shared" si="28"/>
        <v>3.8249109015269086E-3</v>
      </c>
      <c r="S90" s="2"/>
      <c r="T90" s="6">
        <v>3449.34</v>
      </c>
      <c r="U90" s="2"/>
      <c r="V90" s="7">
        <f t="shared" si="29"/>
        <v>5.5048916410882281E-3</v>
      </c>
      <c r="W90" s="2"/>
      <c r="X90" s="6">
        <f t="shared" si="30"/>
        <v>1349.46</v>
      </c>
      <c r="Y90" s="2"/>
      <c r="Z90" s="7">
        <f t="shared" si="31"/>
        <v>0.391222668684444</v>
      </c>
    </row>
    <row r="91" spans="1:26" s="24" customFormat="1" hidden="1" outlineLevel="2" x14ac:dyDescent="0.25">
      <c r="A91" s="29"/>
      <c r="B91" s="11" t="str">
        <f>CONCATENATE("          ", "6156", " - ", "EMPLOYEE MEALS")</f>
        <v xml:space="preserve">          6156 - EMPLOYEE MEALS</v>
      </c>
      <c r="C91" s="11"/>
      <c r="D91" s="6">
        <v>935.3</v>
      </c>
      <c r="E91" s="2"/>
      <c r="F91" s="7">
        <f t="shared" si="24"/>
        <v>2.0799387648948679E-3</v>
      </c>
      <c r="G91" s="2"/>
      <c r="H91" s="6">
        <v>357.76</v>
      </c>
      <c r="I91" s="2"/>
      <c r="J91" s="7">
        <f t="shared" si="25"/>
        <v>3.7022932361950502E-3</v>
      </c>
      <c r="K91" s="2"/>
      <c r="L91" s="6">
        <f t="shared" si="26"/>
        <v>577.54</v>
      </c>
      <c r="M91" s="2"/>
      <c r="N91" s="7">
        <f t="shared" si="27"/>
        <v>1.6143224508050089</v>
      </c>
      <c r="O91" s="11"/>
      <c r="P91" s="6">
        <v>2405.84</v>
      </c>
      <c r="Q91" s="2"/>
      <c r="R91" s="7">
        <f t="shared" si="28"/>
        <v>1.9175884894826827E-3</v>
      </c>
      <c r="S91" s="2"/>
      <c r="T91" s="6">
        <v>1233.9100000000001</v>
      </c>
      <c r="U91" s="2"/>
      <c r="V91" s="7">
        <f t="shared" si="29"/>
        <v>1.9692291408951209E-3</v>
      </c>
      <c r="W91" s="2"/>
      <c r="X91" s="6">
        <f t="shared" si="30"/>
        <v>1171.93</v>
      </c>
      <c r="Y91" s="2"/>
      <c r="Z91" s="7">
        <f t="shared" si="31"/>
        <v>0.94976943213038223</v>
      </c>
    </row>
    <row r="92" spans="1:26" s="28" customFormat="1" outlineLevel="1" collapsed="1" x14ac:dyDescent="0.25">
      <c r="A92" s="27"/>
      <c r="B92" s="14" t="str">
        <f>CONCATENATE("     ","*Payroll                                          ")</f>
        <v xml:space="preserve">     *Payroll                                          </v>
      </c>
      <c r="C92" s="14"/>
      <c r="D92" s="1">
        <f>SUM(OSRRefD22_1x_0)</f>
        <v>57243.619999999995</v>
      </c>
      <c r="E92" s="1"/>
      <c r="F92" s="5">
        <f t="shared" ref="F92:F97" si="32">IF(D$12=0,0,D92/D$12)</f>
        <v>0.12729950206448321</v>
      </c>
      <c r="G92" s="1"/>
      <c r="H92" s="1">
        <f>SUM(OSRRefH22_1x_0)</f>
        <v>31450.28</v>
      </c>
      <c r="I92" s="1"/>
      <c r="J92" s="5">
        <f t="shared" ref="J92:J97" si="33">IF(H$12=0,0,H92/H$12)</f>
        <v>0.3254644424207303</v>
      </c>
      <c r="K92" s="1"/>
      <c r="L92" s="1">
        <f t="shared" ref="L92:L97" si="34">+D92-H92</f>
        <v>25793.339999999997</v>
      </c>
      <c r="M92" s="1"/>
      <c r="N92" s="5">
        <f t="shared" ref="N92:N97" si="35">IF(H92=0,0,L92/H92)</f>
        <v>0.82013069517982029</v>
      </c>
      <c r="O92" s="14"/>
      <c r="P92" s="1">
        <f>SUM(OSRRefP22_1x_0)</f>
        <v>225165.81</v>
      </c>
      <c r="Q92" s="1"/>
      <c r="R92" s="5">
        <f t="shared" ref="R92:R97" si="36">IF(P$12=0,0,P92/P$12)</f>
        <v>0.17946969269820301</v>
      </c>
      <c r="S92" s="1"/>
      <c r="T92" s="1">
        <f>SUM(OSRRefT22_1x_0)</f>
        <v>120164.06</v>
      </c>
      <c r="U92" s="1"/>
      <c r="V92" s="5">
        <f t="shared" ref="V92:V97" si="37">IF(T$12=0,0,T92/T$12)</f>
        <v>0.1917729564070878</v>
      </c>
      <c r="W92" s="1"/>
      <c r="X92" s="1">
        <f t="shared" ref="X92:X97" si="38">+P92-T92</f>
        <v>105001.75</v>
      </c>
      <c r="Y92" s="1"/>
      <c r="Z92" s="5">
        <f t="shared" ref="Z92:Z97" si="39">IF(T92=0,0,X92/T92)</f>
        <v>0.87381992585803114</v>
      </c>
    </row>
    <row r="93" spans="1:26" s="24" customFormat="1" hidden="1" outlineLevel="2" x14ac:dyDescent="0.25">
      <c r="A93" s="29"/>
      <c r="B93" s="11" t="str">
        <f>CONCATENATE("          ", "6002", " - ", "STAFF SALARIES")</f>
        <v xml:space="preserve">          6002 - STAFF SALARIES</v>
      </c>
      <c r="C93" s="11"/>
      <c r="D93" s="6">
        <v>14934.13</v>
      </c>
      <c r="E93" s="2"/>
      <c r="F93" s="7">
        <f t="shared" si="32"/>
        <v>3.3210815681577452E-2</v>
      </c>
      <c r="G93" s="2"/>
      <c r="H93" s="6">
        <v>10383.09</v>
      </c>
      <c r="I93" s="2"/>
      <c r="J93" s="7">
        <f t="shared" si="33"/>
        <v>0.10744980958688637</v>
      </c>
      <c r="K93" s="2"/>
      <c r="L93" s="6">
        <f t="shared" si="34"/>
        <v>4551.0399999999991</v>
      </c>
      <c r="M93" s="2"/>
      <c r="N93" s="7">
        <f t="shared" si="35"/>
        <v>0.4383126795587825</v>
      </c>
      <c r="O93" s="11"/>
      <c r="P93" s="6">
        <v>62989.16</v>
      </c>
      <c r="Q93" s="2"/>
      <c r="R93" s="7">
        <f t="shared" si="36"/>
        <v>5.0205869126036237E-2</v>
      </c>
      <c r="S93" s="2"/>
      <c r="T93" s="6">
        <v>50846.05</v>
      </c>
      <c r="U93" s="2"/>
      <c r="V93" s="7">
        <f t="shared" si="37"/>
        <v>8.1146536910642067E-2</v>
      </c>
      <c r="W93" s="2"/>
      <c r="X93" s="6">
        <f t="shared" si="38"/>
        <v>12143.11</v>
      </c>
      <c r="Y93" s="2"/>
      <c r="Z93" s="7">
        <f t="shared" si="39"/>
        <v>0.23882110803100731</v>
      </c>
    </row>
    <row r="94" spans="1:26" s="24" customFormat="1" hidden="1" outlineLevel="2" x14ac:dyDescent="0.25">
      <c r="A94" s="29"/>
      <c r="B94" s="11" t="str">
        <f>CONCATENATE("          ", "6004", " - ", "STAFF HOURLY")</f>
        <v xml:space="preserve">          6004 - STAFF HOURLY</v>
      </c>
      <c r="C94" s="11"/>
      <c r="D94" s="6">
        <v>10729.89</v>
      </c>
      <c r="E94" s="2"/>
      <c r="F94" s="7">
        <f t="shared" si="32"/>
        <v>2.3861343049350787E-2</v>
      </c>
      <c r="G94" s="2"/>
      <c r="H94" s="6">
        <v>7145.46</v>
      </c>
      <c r="I94" s="2"/>
      <c r="J94" s="7">
        <f t="shared" si="33"/>
        <v>7.3945069956122211E-2</v>
      </c>
      <c r="K94" s="2"/>
      <c r="L94" s="6">
        <f t="shared" si="34"/>
        <v>3584.4299999999994</v>
      </c>
      <c r="M94" s="2"/>
      <c r="N94" s="7">
        <f t="shared" si="35"/>
        <v>0.50163740333022633</v>
      </c>
      <c r="O94" s="11"/>
      <c r="P94" s="6">
        <v>35727.01</v>
      </c>
      <c r="Q94" s="2"/>
      <c r="R94" s="7">
        <f t="shared" si="36"/>
        <v>2.8476417026748538E-2</v>
      </c>
      <c r="S94" s="2"/>
      <c r="T94" s="6">
        <v>30949.01</v>
      </c>
      <c r="U94" s="2"/>
      <c r="V94" s="7">
        <f t="shared" si="37"/>
        <v>4.9392331996543096E-2</v>
      </c>
      <c r="W94" s="2"/>
      <c r="X94" s="6">
        <f t="shared" si="38"/>
        <v>4778.0000000000036</v>
      </c>
      <c r="Y94" s="2"/>
      <c r="Z94" s="7">
        <f t="shared" si="39"/>
        <v>0.15438296733885845</v>
      </c>
    </row>
    <row r="95" spans="1:26" s="24" customFormat="1" hidden="1" outlineLevel="2" x14ac:dyDescent="0.25">
      <c r="A95" s="29"/>
      <c r="B95" s="11" t="str">
        <f>CONCATENATE("          ", "6005", " - ", "TEMPORARY WAGES-HOURLY")</f>
        <v xml:space="preserve">          6005 - TEMPORARY WAGES-HOURLY</v>
      </c>
      <c r="C95" s="11"/>
      <c r="D95" s="6">
        <v>3627.62</v>
      </c>
      <c r="E95" s="2"/>
      <c r="F95" s="7">
        <f t="shared" si="32"/>
        <v>8.0671735938286325E-3</v>
      </c>
      <c r="G95" s="2"/>
      <c r="H95" s="6">
        <v>6544.32</v>
      </c>
      <c r="I95" s="2"/>
      <c r="J95" s="7">
        <f t="shared" si="33"/>
        <v>6.7724149350111784E-2</v>
      </c>
      <c r="K95" s="2"/>
      <c r="L95" s="6">
        <f t="shared" si="34"/>
        <v>-2916.7</v>
      </c>
      <c r="M95" s="2"/>
      <c r="N95" s="7">
        <f t="shared" si="35"/>
        <v>-0.44568419637181556</v>
      </c>
      <c r="O95" s="11"/>
      <c r="P95" s="6">
        <v>11442.78</v>
      </c>
      <c r="Q95" s="2"/>
      <c r="R95" s="7">
        <f t="shared" si="36"/>
        <v>9.1205330427969657E-3</v>
      </c>
      <c r="S95" s="2"/>
      <c r="T95" s="6">
        <v>15953.5</v>
      </c>
      <c r="U95" s="2"/>
      <c r="V95" s="7">
        <f t="shared" si="37"/>
        <v>2.5460606607670175E-2</v>
      </c>
      <c r="W95" s="2"/>
      <c r="X95" s="6">
        <f t="shared" si="38"/>
        <v>-4510.7199999999993</v>
      </c>
      <c r="Y95" s="2"/>
      <c r="Z95" s="7">
        <f t="shared" si="39"/>
        <v>-0.28274171811828119</v>
      </c>
    </row>
    <row r="96" spans="1:26" s="24" customFormat="1" hidden="1" outlineLevel="2" x14ac:dyDescent="0.25">
      <c r="A96" s="29"/>
      <c r="B96" s="11" t="str">
        <f>CONCATENATE("          ", "6007", " - ", "STUDENT HOURLY")</f>
        <v xml:space="preserve">          6007 - STUDENT HOURLY</v>
      </c>
      <c r="C96" s="11"/>
      <c r="D96" s="6">
        <v>20928.32</v>
      </c>
      <c r="E96" s="2"/>
      <c r="F96" s="7">
        <f t="shared" si="32"/>
        <v>4.6540814767587466E-2</v>
      </c>
      <c r="G96" s="2"/>
      <c r="H96" s="6">
        <v>6431.14</v>
      </c>
      <c r="I96" s="2"/>
      <c r="J96" s="7">
        <f t="shared" si="33"/>
        <v>6.6552901730275713E-2</v>
      </c>
      <c r="K96" s="2"/>
      <c r="L96" s="6">
        <f t="shared" si="34"/>
        <v>14497.18</v>
      </c>
      <c r="M96" s="2"/>
      <c r="N96" s="7">
        <f t="shared" si="35"/>
        <v>2.254216204281045</v>
      </c>
      <c r="O96" s="11"/>
      <c r="P96" s="6">
        <v>85921.99</v>
      </c>
      <c r="Q96" s="2"/>
      <c r="R96" s="7">
        <f t="shared" si="36"/>
        <v>6.8484612034651587E-2</v>
      </c>
      <c r="S96" s="2"/>
      <c r="T96" s="6">
        <v>20445.669999999998</v>
      </c>
      <c r="U96" s="2"/>
      <c r="V96" s="7">
        <f t="shared" si="37"/>
        <v>3.2629777835599956E-2</v>
      </c>
      <c r="W96" s="2"/>
      <c r="X96" s="6">
        <f t="shared" si="38"/>
        <v>65476.320000000007</v>
      </c>
      <c r="Y96" s="2"/>
      <c r="Z96" s="7">
        <f t="shared" si="39"/>
        <v>3.202454113756116</v>
      </c>
    </row>
    <row r="97" spans="1:26" s="24" customFormat="1" hidden="1" outlineLevel="2" x14ac:dyDescent="0.25">
      <c r="A97" s="29"/>
      <c r="B97" s="11" t="str">
        <f>CONCATENATE("          ", "6008", " - ", "STUDENT HOURLY-FICA EXEMPT")</f>
        <v xml:space="preserve">          6008 - STUDENT HOURLY-FICA EXEMPT</v>
      </c>
      <c r="C97" s="11"/>
      <c r="D97" s="6">
        <v>7023.66</v>
      </c>
      <c r="E97" s="2"/>
      <c r="F97" s="7">
        <f t="shared" si="32"/>
        <v>1.5619354972138871E-2</v>
      </c>
      <c r="G97" s="2"/>
      <c r="H97" s="6">
        <v>946.27</v>
      </c>
      <c r="I97" s="2"/>
      <c r="J97" s="7">
        <f t="shared" si="33"/>
        <v>9.7925117973342198E-3</v>
      </c>
      <c r="K97" s="2"/>
      <c r="L97" s="6">
        <f t="shared" si="34"/>
        <v>6077.3899999999994</v>
      </c>
      <c r="M97" s="2"/>
      <c r="N97" s="7">
        <f t="shared" si="35"/>
        <v>6.4224692740972449</v>
      </c>
      <c r="O97" s="11"/>
      <c r="P97" s="6">
        <v>29084.87</v>
      </c>
      <c r="Q97" s="2"/>
      <c r="R97" s="7">
        <f t="shared" si="36"/>
        <v>2.3182261467969686E-2</v>
      </c>
      <c r="S97" s="2"/>
      <c r="T97" s="6">
        <v>1969.83</v>
      </c>
      <c r="U97" s="2"/>
      <c r="V97" s="7">
        <f t="shared" si="37"/>
        <v>3.1437030566325219E-3</v>
      </c>
      <c r="W97" s="2"/>
      <c r="X97" s="6">
        <f t="shared" si="38"/>
        <v>27115.040000000001</v>
      </c>
      <c r="Y97" s="2"/>
      <c r="Z97" s="7">
        <f t="shared" si="39"/>
        <v>13.765167552529915</v>
      </c>
    </row>
    <row r="98" spans="1:26" s="28" customFormat="1" outlineLevel="1" collapsed="1" x14ac:dyDescent="0.25">
      <c r="A98" s="27"/>
      <c r="B98" s="14" t="str">
        <f>CONCATENATE("     ","Advertising/Promo                                 ")</f>
        <v xml:space="preserve">     Advertising/Promo                                 </v>
      </c>
      <c r="C98" s="14"/>
      <c r="D98" s="1">
        <f>SUM(OSRRefD22_2x_0)</f>
        <v>303.05</v>
      </c>
      <c r="E98" s="1"/>
      <c r="F98" s="5">
        <f t="shared" ref="F98:F102" si="40">IF(D$12=0,0,D98/D$12)</f>
        <v>6.7392862472082722E-4</v>
      </c>
      <c r="G98" s="1"/>
      <c r="H98" s="1">
        <f>SUM(OSRRefH22_2x_0)</f>
        <v>255.44</v>
      </c>
      <c r="I98" s="1"/>
      <c r="J98" s="5">
        <f t="shared" ref="J98:J102" si="41">IF(H$12=0,0,H98/H$12)</f>
        <v>2.6434307475784427E-3</v>
      </c>
      <c r="K98" s="1"/>
      <c r="L98" s="1">
        <f t="shared" ref="L98:L102" si="42">+D98-H98</f>
        <v>47.610000000000014</v>
      </c>
      <c r="M98" s="1"/>
      <c r="N98" s="5">
        <f t="shared" ref="N98:N102" si="43">IF(H98=0,0,L98/H98)</f>
        <v>0.18638427810836208</v>
      </c>
      <c r="O98" s="14"/>
      <c r="P98" s="1">
        <f>SUM(OSRRefP22_2x_0)</f>
        <v>1680.06</v>
      </c>
      <c r="Q98" s="1"/>
      <c r="R98" s="5">
        <f t="shared" ref="R98:R102" si="44">IF(P$12=0,0,P98/P$12)</f>
        <v>1.3391014022712548E-3</v>
      </c>
      <c r="S98" s="1"/>
      <c r="T98" s="1">
        <f>SUM(OSRRefT22_2x_0)</f>
        <v>11289.15</v>
      </c>
      <c r="U98" s="1"/>
      <c r="V98" s="5">
        <f t="shared" ref="V98:V102" si="45">IF(T$12=0,0,T98/T$12)</f>
        <v>1.8016648828468974E-2</v>
      </c>
      <c r="W98" s="1"/>
      <c r="X98" s="1">
        <f t="shared" ref="X98:X102" si="46">+P98-T98</f>
        <v>-9609.09</v>
      </c>
      <c r="Y98" s="1"/>
      <c r="Z98" s="5">
        <f t="shared" ref="Z98:Z102" si="47">IF(T98=0,0,X98/T98)</f>
        <v>-0.85117922961427572</v>
      </c>
    </row>
    <row r="99" spans="1:26" s="24" customFormat="1" hidden="1" outlineLevel="2" x14ac:dyDescent="0.25">
      <c r="A99" s="29"/>
      <c r="B99" s="11" t="str">
        <f>CONCATENATE("          ", "6362", " - ", "ADVERTISING EXPENSE")</f>
        <v xml:space="preserve">          6362 - ADVERTISING EXPENSE</v>
      </c>
      <c r="C99" s="11"/>
      <c r="D99" s="6">
        <v>303.05</v>
      </c>
      <c r="E99" s="2"/>
      <c r="F99" s="7">
        <f t="shared" si="40"/>
        <v>6.7392862472082722E-4</v>
      </c>
      <c r="G99" s="2"/>
      <c r="H99" s="6">
        <v>255.44</v>
      </c>
      <c r="I99" s="2"/>
      <c r="J99" s="7">
        <f t="shared" si="41"/>
        <v>2.6434307475784427E-3</v>
      </c>
      <c r="K99" s="2"/>
      <c r="L99" s="6">
        <f t="shared" si="42"/>
        <v>47.610000000000014</v>
      </c>
      <c r="M99" s="2"/>
      <c r="N99" s="7">
        <f t="shared" si="43"/>
        <v>0.18638427810836208</v>
      </c>
      <c r="O99" s="11"/>
      <c r="P99" s="6">
        <v>1680.06</v>
      </c>
      <c r="Q99" s="2"/>
      <c r="R99" s="7">
        <f t="shared" si="44"/>
        <v>1.3391014022712548E-3</v>
      </c>
      <c r="S99" s="2"/>
      <c r="T99" s="6">
        <v>11289.15</v>
      </c>
      <c r="U99" s="2"/>
      <c r="V99" s="7">
        <f t="shared" si="45"/>
        <v>1.8016648828468974E-2</v>
      </c>
      <c r="W99" s="2"/>
      <c r="X99" s="6">
        <f t="shared" si="46"/>
        <v>-9609.09</v>
      </c>
      <c r="Y99" s="2"/>
      <c r="Z99" s="7">
        <f t="shared" si="47"/>
        <v>-0.85117922961427572</v>
      </c>
    </row>
    <row r="100" spans="1:26" s="28" customFormat="1" outlineLevel="1" collapsed="1" x14ac:dyDescent="0.25">
      <c r="A100" s="27"/>
      <c r="B100" s="14" t="str">
        <f>CONCATENATE("     ","Discounts and Markdowns                           ")</f>
        <v xml:space="preserve">     Discounts and Markdowns                           </v>
      </c>
      <c r="C100" s="14"/>
      <c r="D100" s="1">
        <f>SUM(OSRRefD22_3x_0)</f>
        <v>0</v>
      </c>
      <c r="E100" s="1"/>
      <c r="F100" s="5">
        <f t="shared" si="40"/>
        <v>0</v>
      </c>
      <c r="G100" s="1"/>
      <c r="H100" s="1">
        <f>SUM(OSRRefH22_3x_0)</f>
        <v>0</v>
      </c>
      <c r="I100" s="1"/>
      <c r="J100" s="5">
        <f t="shared" si="41"/>
        <v>0</v>
      </c>
      <c r="K100" s="1"/>
      <c r="L100" s="1">
        <f t="shared" si="42"/>
        <v>0</v>
      </c>
      <c r="M100" s="1"/>
      <c r="N100" s="5">
        <f t="shared" si="43"/>
        <v>0</v>
      </c>
      <c r="O100" s="14"/>
      <c r="P100" s="1">
        <f>SUM(OSRRefP22_3x_0)</f>
        <v>0</v>
      </c>
      <c r="Q100" s="1"/>
      <c r="R100" s="5">
        <f t="shared" si="44"/>
        <v>0</v>
      </c>
      <c r="S100" s="1"/>
      <c r="T100" s="1">
        <f>SUM(OSRRefT22_3x_0)</f>
        <v>0</v>
      </c>
      <c r="U100" s="1"/>
      <c r="V100" s="5">
        <f t="shared" si="45"/>
        <v>0</v>
      </c>
      <c r="W100" s="1"/>
      <c r="X100" s="1">
        <f t="shared" si="46"/>
        <v>0</v>
      </c>
      <c r="Y100" s="1"/>
      <c r="Z100" s="5">
        <f t="shared" si="47"/>
        <v>0</v>
      </c>
    </row>
    <row r="101" spans="1:26" s="24" customFormat="1" hidden="1" outlineLevel="2" x14ac:dyDescent="0.25">
      <c r="A101" s="29"/>
      <c r="B101" s="11" t="str">
        <f>CONCATENATE("          ", "6382", " - ", "DISCOUNTS/MARK DOWNS")</f>
        <v xml:space="preserve">          6382 - DISCOUNTS/MARK DOWNS</v>
      </c>
      <c r="C101" s="11"/>
      <c r="D101" s="6"/>
      <c r="E101" s="2"/>
      <c r="F101" s="7">
        <f t="shared" si="40"/>
        <v>0</v>
      </c>
      <c r="G101" s="2"/>
      <c r="H101" s="6">
        <v>0</v>
      </c>
      <c r="I101" s="2"/>
      <c r="J101" s="7">
        <f t="shared" si="41"/>
        <v>0</v>
      </c>
      <c r="K101" s="2"/>
      <c r="L101" s="6">
        <f t="shared" si="42"/>
        <v>0</v>
      </c>
      <c r="M101" s="2"/>
      <c r="N101" s="7">
        <f t="shared" si="43"/>
        <v>0</v>
      </c>
      <c r="O101" s="11"/>
      <c r="P101" s="6"/>
      <c r="Q101" s="2"/>
      <c r="R101" s="7">
        <f t="shared" si="44"/>
        <v>0</v>
      </c>
      <c r="S101" s="2"/>
      <c r="T101" s="6">
        <v>0</v>
      </c>
      <c r="U101" s="2"/>
      <c r="V101" s="7">
        <f t="shared" si="45"/>
        <v>0</v>
      </c>
      <c r="W101" s="2"/>
      <c r="X101" s="6">
        <f t="shared" si="46"/>
        <v>0</v>
      </c>
      <c r="Y101" s="2"/>
      <c r="Z101" s="7">
        <f t="shared" si="47"/>
        <v>0</v>
      </c>
    </row>
    <row r="102" spans="1:26" s="24" customFormat="1" hidden="1" outlineLevel="2" x14ac:dyDescent="0.25">
      <c r="A102" s="29"/>
      <c r="B102" s="11" t="str">
        <f>CONCATENATE("          ", "9175", " - ", "EARNED DISCOUNTS")</f>
        <v xml:space="preserve">          9175 - EARNED DISCOUNTS</v>
      </c>
      <c r="C102" s="11"/>
      <c r="D102" s="6">
        <v>0</v>
      </c>
      <c r="E102" s="2"/>
      <c r="F102" s="7">
        <f t="shared" si="40"/>
        <v>0</v>
      </c>
      <c r="G102" s="2"/>
      <c r="H102" s="6"/>
      <c r="I102" s="2"/>
      <c r="J102" s="7">
        <f t="shared" si="41"/>
        <v>0</v>
      </c>
      <c r="K102" s="2"/>
      <c r="L102" s="6">
        <f t="shared" si="42"/>
        <v>0</v>
      </c>
      <c r="M102" s="2"/>
      <c r="N102" s="7">
        <f t="shared" si="43"/>
        <v>0</v>
      </c>
      <c r="O102" s="11"/>
      <c r="P102" s="6">
        <v>0</v>
      </c>
      <c r="Q102" s="2"/>
      <c r="R102" s="7">
        <f t="shared" si="44"/>
        <v>0</v>
      </c>
      <c r="S102" s="2"/>
      <c r="T102" s="6"/>
      <c r="U102" s="2"/>
      <c r="V102" s="7">
        <f t="shared" si="45"/>
        <v>0</v>
      </c>
      <c r="W102" s="2"/>
      <c r="X102" s="6">
        <f t="shared" si="46"/>
        <v>0</v>
      </c>
      <c r="Y102" s="2"/>
      <c r="Z102" s="7">
        <f t="shared" si="47"/>
        <v>0</v>
      </c>
    </row>
    <row r="103" spans="1:26" s="28" customFormat="1" outlineLevel="1" collapsed="1" x14ac:dyDescent="0.25">
      <c r="A103" s="27"/>
      <c r="B103" s="14" t="str">
        <f>CONCATENATE("     ","Employees' Appreciation                           ")</f>
        <v xml:space="preserve">     Employees' Appreciation                           </v>
      </c>
      <c r="C103" s="14"/>
      <c r="D103" s="1">
        <f>SUM(OSRRefD22_4x_0)</f>
        <v>0</v>
      </c>
      <c r="E103" s="1"/>
      <c r="F103" s="5">
        <f t="shared" ref="F103:F107" si="48">IF(D$12=0,0,D103/D$12)</f>
        <v>0</v>
      </c>
      <c r="G103" s="1"/>
      <c r="H103" s="1">
        <f>SUM(OSRRefH22_4x_0)</f>
        <v>0</v>
      </c>
      <c r="I103" s="1"/>
      <c r="J103" s="5">
        <f t="shared" ref="J103:J107" si="49">IF(H$12=0,0,H103/H$12)</f>
        <v>0</v>
      </c>
      <c r="K103" s="1"/>
      <c r="L103" s="1">
        <f t="shared" ref="L103:L107" si="50">+D103-H103</f>
        <v>0</v>
      </c>
      <c r="M103" s="1"/>
      <c r="N103" s="5">
        <f t="shared" ref="N103:N107" si="51">IF(H103=0,0,L103/H103)</f>
        <v>0</v>
      </c>
      <c r="O103" s="14"/>
      <c r="P103" s="1">
        <f>SUM(OSRRefP22_4x_0)</f>
        <v>216.44</v>
      </c>
      <c r="Q103" s="1"/>
      <c r="R103" s="5">
        <f t="shared" ref="R103:R107" si="52">IF(P$12=0,0,P103/P$12)</f>
        <v>1.725147360853722E-4</v>
      </c>
      <c r="S103" s="1"/>
      <c r="T103" s="1">
        <f>SUM(OSRRefT22_4x_0)</f>
        <v>0</v>
      </c>
      <c r="U103" s="1"/>
      <c r="V103" s="5">
        <f t="shared" ref="V103:V107" si="53">IF(T$12=0,0,T103/T$12)</f>
        <v>0</v>
      </c>
      <c r="W103" s="1"/>
      <c r="X103" s="1">
        <f t="shared" ref="X103:X107" si="54">+P103-T103</f>
        <v>216.44</v>
      </c>
      <c r="Y103" s="1"/>
      <c r="Z103" s="5">
        <f t="shared" ref="Z103:Z107" si="55">IF(T103=0,0,X103/T103)</f>
        <v>0</v>
      </c>
    </row>
    <row r="104" spans="1:26" s="24" customFormat="1" hidden="1" outlineLevel="2" x14ac:dyDescent="0.25">
      <c r="A104" s="29"/>
      <c r="B104" s="11" t="str">
        <f>CONCATENATE("          ", "6277", " - ", "EMPLOYEE APPRECIATION")</f>
        <v xml:space="preserve">          6277 - EMPLOYEE APPRECIATION</v>
      </c>
      <c r="C104" s="11"/>
      <c r="D104" s="6"/>
      <c r="E104" s="2"/>
      <c r="F104" s="7">
        <f t="shared" si="48"/>
        <v>0</v>
      </c>
      <c r="G104" s="2"/>
      <c r="H104" s="6"/>
      <c r="I104" s="2"/>
      <c r="J104" s="7">
        <f t="shared" si="49"/>
        <v>0</v>
      </c>
      <c r="K104" s="2"/>
      <c r="L104" s="6">
        <f t="shared" si="50"/>
        <v>0</v>
      </c>
      <c r="M104" s="2"/>
      <c r="N104" s="7">
        <f t="shared" si="51"/>
        <v>0</v>
      </c>
      <c r="O104" s="11"/>
      <c r="P104" s="6">
        <v>216.44</v>
      </c>
      <c r="Q104" s="2"/>
      <c r="R104" s="7">
        <f t="shared" si="52"/>
        <v>1.725147360853722E-4</v>
      </c>
      <c r="S104" s="2"/>
      <c r="T104" s="6"/>
      <c r="U104" s="2"/>
      <c r="V104" s="7">
        <f t="shared" si="53"/>
        <v>0</v>
      </c>
      <c r="W104" s="2"/>
      <c r="X104" s="6">
        <f t="shared" si="54"/>
        <v>216.44</v>
      </c>
      <c r="Y104" s="2"/>
      <c r="Z104" s="7">
        <f t="shared" si="55"/>
        <v>0</v>
      </c>
    </row>
    <row r="105" spans="1:26" s="28" customFormat="1" outlineLevel="1" collapsed="1" x14ac:dyDescent="0.25">
      <c r="A105" s="27"/>
      <c r="B105" s="14" t="str">
        <f>CONCATENATE("     ","Freight out/Postage                               ")</f>
        <v xml:space="preserve">     Freight out/Postage                               </v>
      </c>
      <c r="C105" s="14"/>
      <c r="D105" s="1">
        <f>SUM(OSRRefD22_5x_0)</f>
        <v>19.82</v>
      </c>
      <c r="E105" s="1"/>
      <c r="F105" s="5">
        <f t="shared" si="48"/>
        <v>4.4076110681296142E-5</v>
      </c>
      <c r="G105" s="1"/>
      <c r="H105" s="1">
        <f>SUM(OSRRefH22_5x_0)</f>
        <v>10.85</v>
      </c>
      <c r="I105" s="1"/>
      <c r="J105" s="5">
        <f t="shared" si="49"/>
        <v>1.122816458316086E-4</v>
      </c>
      <c r="K105" s="1"/>
      <c r="L105" s="1">
        <f t="shared" si="50"/>
        <v>8.9700000000000006</v>
      </c>
      <c r="M105" s="1"/>
      <c r="N105" s="5">
        <f t="shared" si="51"/>
        <v>0.82672811059907847</v>
      </c>
      <c r="O105" s="14"/>
      <c r="P105" s="1">
        <f>SUM(OSRRefP22_5x_0)</f>
        <v>925.77</v>
      </c>
      <c r="Q105" s="1"/>
      <c r="R105" s="5">
        <f t="shared" si="52"/>
        <v>7.3789025700311871E-4</v>
      </c>
      <c r="S105" s="1"/>
      <c r="T105" s="1">
        <f>SUM(OSRRefT22_5x_0)</f>
        <v>91.96</v>
      </c>
      <c r="U105" s="1"/>
      <c r="V105" s="5">
        <f t="shared" si="53"/>
        <v>1.4676136168498131E-4</v>
      </c>
      <c r="W105" s="1"/>
      <c r="X105" s="1">
        <f t="shared" si="54"/>
        <v>833.81</v>
      </c>
      <c r="Y105" s="1"/>
      <c r="Z105" s="5">
        <f t="shared" si="55"/>
        <v>9.0670943888647244</v>
      </c>
    </row>
    <row r="106" spans="1:26" s="24" customFormat="1" hidden="1" outlineLevel="2" x14ac:dyDescent="0.25">
      <c r="A106" s="29"/>
      <c r="B106" s="11" t="str">
        <f>CONCATENATE("          ", "6305", " - ", "FREIGHT OUT")</f>
        <v xml:space="preserve">          6305 - FREIGHT OUT</v>
      </c>
      <c r="C106" s="11"/>
      <c r="D106" s="6">
        <v>19.82</v>
      </c>
      <c r="E106" s="2"/>
      <c r="F106" s="7">
        <f t="shared" si="48"/>
        <v>4.4076110681296142E-5</v>
      </c>
      <c r="G106" s="2"/>
      <c r="H106" s="6">
        <v>10.85</v>
      </c>
      <c r="I106" s="2"/>
      <c r="J106" s="7">
        <f t="shared" si="49"/>
        <v>1.122816458316086E-4</v>
      </c>
      <c r="K106" s="2"/>
      <c r="L106" s="6">
        <f t="shared" si="50"/>
        <v>8.9700000000000006</v>
      </c>
      <c r="M106" s="2"/>
      <c r="N106" s="7">
        <f t="shared" si="51"/>
        <v>0.82672811059907847</v>
      </c>
      <c r="O106" s="11"/>
      <c r="P106" s="6">
        <v>890.35</v>
      </c>
      <c r="Q106" s="2"/>
      <c r="R106" s="7">
        <f t="shared" si="52"/>
        <v>7.0965854404736245E-4</v>
      </c>
      <c r="S106" s="2"/>
      <c r="T106" s="6">
        <v>91.96</v>
      </c>
      <c r="U106" s="2"/>
      <c r="V106" s="7">
        <f t="shared" si="53"/>
        <v>1.4676136168498131E-4</v>
      </c>
      <c r="W106" s="2"/>
      <c r="X106" s="6">
        <f t="shared" si="54"/>
        <v>798.39</v>
      </c>
      <c r="Y106" s="2"/>
      <c r="Z106" s="7">
        <f t="shared" si="55"/>
        <v>8.6819269247498916</v>
      </c>
    </row>
    <row r="107" spans="1:26" s="24" customFormat="1" hidden="1" outlineLevel="2" x14ac:dyDescent="0.25">
      <c r="A107" s="29"/>
      <c r="B107" s="11" t="str">
        <f>CONCATENATE("          ", "6307", " - ", "POSTAGE")</f>
        <v xml:space="preserve">          6307 - POSTAGE</v>
      </c>
      <c r="C107" s="11"/>
      <c r="D107" s="6"/>
      <c r="E107" s="2"/>
      <c r="F107" s="7">
        <f t="shared" si="48"/>
        <v>0</v>
      </c>
      <c r="G107" s="2"/>
      <c r="H107" s="6"/>
      <c r="I107" s="2"/>
      <c r="J107" s="7">
        <f t="shared" si="49"/>
        <v>0</v>
      </c>
      <c r="K107" s="2"/>
      <c r="L107" s="6">
        <f t="shared" si="50"/>
        <v>0</v>
      </c>
      <c r="M107" s="2"/>
      <c r="N107" s="7">
        <f t="shared" si="51"/>
        <v>0</v>
      </c>
      <c r="O107" s="11"/>
      <c r="P107" s="6">
        <v>35.42</v>
      </c>
      <c r="Q107" s="2"/>
      <c r="R107" s="7">
        <f t="shared" si="52"/>
        <v>2.8231712955756252E-5</v>
      </c>
      <c r="S107" s="2"/>
      <c r="T107" s="6"/>
      <c r="U107" s="2"/>
      <c r="V107" s="7">
        <f t="shared" si="53"/>
        <v>0</v>
      </c>
      <c r="W107" s="2"/>
      <c r="X107" s="6">
        <f t="shared" si="54"/>
        <v>35.42</v>
      </c>
      <c r="Y107" s="2"/>
      <c r="Z107" s="7">
        <f t="shared" si="55"/>
        <v>0</v>
      </c>
    </row>
    <row r="108" spans="1:26" s="28" customFormat="1" outlineLevel="1" collapsed="1" x14ac:dyDescent="0.25">
      <c r="A108" s="27"/>
      <c r="B108" s="14" t="str">
        <f>CONCATENATE("     ","Inventory Adjustment                              ")</f>
        <v xml:space="preserve">     Inventory Adjustment                              </v>
      </c>
      <c r="C108" s="14"/>
      <c r="D108" s="1">
        <f>SUM(OSRRefD22_6x_0)</f>
        <v>3350</v>
      </c>
      <c r="E108" s="1"/>
      <c r="F108" s="5">
        <f t="shared" ref="F108:F110" si="56">IF(D$12=0,0,D108/D$12)</f>
        <v>7.4497967095026266E-3</v>
      </c>
      <c r="G108" s="1"/>
      <c r="H108" s="1">
        <f>SUM(OSRRefH22_6x_0)</f>
        <v>1000</v>
      </c>
      <c r="I108" s="1"/>
      <c r="J108" s="5">
        <f t="shared" ref="J108:J110" si="57">IF(H$12=0,0,H108/H$12)</f>
        <v>1.0348538786323374E-2</v>
      </c>
      <c r="K108" s="1"/>
      <c r="L108" s="1">
        <f t="shared" ref="L108:L110" si="58">+D108-H108</f>
        <v>2350</v>
      </c>
      <c r="M108" s="1"/>
      <c r="N108" s="5">
        <f t="shared" ref="N108:N110" si="59">IF(H108=0,0,L108/H108)</f>
        <v>2.35</v>
      </c>
      <c r="O108" s="14"/>
      <c r="P108" s="1">
        <f>SUM(OSRRefP22_6x_0)</f>
        <v>13400</v>
      </c>
      <c r="Q108" s="1"/>
      <c r="R108" s="5">
        <f t="shared" ref="R108:R110" si="60">IF(P$12=0,0,P108/P$12)</f>
        <v>1.068054640336346E-2</v>
      </c>
      <c r="S108" s="1"/>
      <c r="T108" s="1">
        <f>SUM(OSRRefT22_6x_0)</f>
        <v>4000</v>
      </c>
      <c r="U108" s="1"/>
      <c r="V108" s="5">
        <f t="shared" ref="V108:V110" si="61">IF(T$12=0,0,T108/T$12)</f>
        <v>6.3837042925176737E-3</v>
      </c>
      <c r="W108" s="1"/>
      <c r="X108" s="1">
        <f t="shared" ref="X108:X110" si="62">+P108-T108</f>
        <v>9400</v>
      </c>
      <c r="Y108" s="1"/>
      <c r="Z108" s="5">
        <f t="shared" ref="Z108:Z110" si="63">IF(T108=0,0,X108/T108)</f>
        <v>2.35</v>
      </c>
    </row>
    <row r="109" spans="1:26" s="24" customFormat="1" hidden="1" outlineLevel="2" x14ac:dyDescent="0.25">
      <c r="A109" s="29"/>
      <c r="B109" s="11" t="str">
        <f>CONCATENATE("          ", "6408", " - ", "INVENTORY ADJUSTMENT")</f>
        <v xml:space="preserve">          6408 - INVENTORY ADJUSTMENT</v>
      </c>
      <c r="C109" s="11"/>
      <c r="D109" s="6">
        <v>3350</v>
      </c>
      <c r="E109" s="2"/>
      <c r="F109" s="7">
        <f t="shared" si="56"/>
        <v>7.4497967095026266E-3</v>
      </c>
      <c r="G109" s="2"/>
      <c r="H109" s="6">
        <v>1000</v>
      </c>
      <c r="I109" s="2"/>
      <c r="J109" s="7">
        <f t="shared" si="57"/>
        <v>1.0348538786323374E-2</v>
      </c>
      <c r="K109" s="2"/>
      <c r="L109" s="6">
        <f t="shared" si="58"/>
        <v>2350</v>
      </c>
      <c r="M109" s="2"/>
      <c r="N109" s="7">
        <f t="shared" si="59"/>
        <v>2.35</v>
      </c>
      <c r="O109" s="11"/>
      <c r="P109" s="6">
        <v>13400</v>
      </c>
      <c r="Q109" s="2"/>
      <c r="R109" s="7">
        <f t="shared" si="60"/>
        <v>1.068054640336346E-2</v>
      </c>
      <c r="S109" s="2"/>
      <c r="T109" s="6">
        <v>4000</v>
      </c>
      <c r="U109" s="2"/>
      <c r="V109" s="7">
        <f t="shared" si="61"/>
        <v>6.3837042925176737E-3</v>
      </c>
      <c r="W109" s="2"/>
      <c r="X109" s="6">
        <f t="shared" si="62"/>
        <v>9400</v>
      </c>
      <c r="Y109" s="2"/>
      <c r="Z109" s="7">
        <f t="shared" si="63"/>
        <v>2.35</v>
      </c>
    </row>
    <row r="110" spans="1:26" s="24" customFormat="1" hidden="1" outlineLevel="2" x14ac:dyDescent="0.25">
      <c r="A110" s="29"/>
      <c r="B110" s="11" t="str">
        <f>CONCATENATE("          ", "7741", " - ", "INV. SHRINKAGE-LOGO GIFTS")</f>
        <v xml:space="preserve">          7741 - INV. SHRINKAGE-LOGO GIFTS</v>
      </c>
      <c r="C110" s="11"/>
      <c r="D110" s="6"/>
      <c r="E110" s="2"/>
      <c r="F110" s="7">
        <f t="shared" si="56"/>
        <v>0</v>
      </c>
      <c r="G110" s="2"/>
      <c r="H110" s="6"/>
      <c r="I110" s="2"/>
      <c r="J110" s="7">
        <f t="shared" si="57"/>
        <v>0</v>
      </c>
      <c r="K110" s="2"/>
      <c r="L110" s="6">
        <f t="shared" si="58"/>
        <v>0</v>
      </c>
      <c r="M110" s="2"/>
      <c r="N110" s="7">
        <f t="shared" si="59"/>
        <v>0</v>
      </c>
      <c r="O110" s="11"/>
      <c r="P110" s="6"/>
      <c r="Q110" s="2"/>
      <c r="R110" s="7">
        <f t="shared" si="60"/>
        <v>0</v>
      </c>
      <c r="S110" s="2"/>
      <c r="T110" s="6">
        <v>0</v>
      </c>
      <c r="U110" s="2"/>
      <c r="V110" s="7">
        <f t="shared" si="61"/>
        <v>0</v>
      </c>
      <c r="W110" s="2"/>
      <c r="X110" s="6">
        <f t="shared" si="62"/>
        <v>0</v>
      </c>
      <c r="Y110" s="2"/>
      <c r="Z110" s="7">
        <f t="shared" si="63"/>
        <v>0</v>
      </c>
    </row>
    <row r="111" spans="1:26" s="28" customFormat="1" outlineLevel="1" collapsed="1" x14ac:dyDescent="0.25">
      <c r="A111" s="27"/>
      <c r="B111" s="14" t="str">
        <f>CONCATENATE("     ","Professional Services                             ")</f>
        <v xml:space="preserve">     Professional Services                             </v>
      </c>
      <c r="C111" s="14"/>
      <c r="D111" s="1">
        <f>SUM(OSRRefD22_7x_0)</f>
        <v>507.64</v>
      </c>
      <c r="E111" s="1"/>
      <c r="F111" s="5">
        <f t="shared" ref="F111:F115" si="64">IF(D$12=0,0,D111/D$12)</f>
        <v>1.1288999407796756E-3</v>
      </c>
      <c r="G111" s="1"/>
      <c r="H111" s="1">
        <f>SUM(OSRRefH22_7x_0)</f>
        <v>0</v>
      </c>
      <c r="I111" s="1"/>
      <c r="J111" s="5">
        <f t="shared" ref="J111:J115" si="65">IF(H$12=0,0,H111/H$12)</f>
        <v>0</v>
      </c>
      <c r="K111" s="1"/>
      <c r="L111" s="1">
        <f t="shared" ref="L111:L115" si="66">+D111-H111</f>
        <v>507.64</v>
      </c>
      <c r="M111" s="1"/>
      <c r="N111" s="5">
        <f t="shared" ref="N111:N115" si="67">IF(H111=0,0,L111/H111)</f>
        <v>0</v>
      </c>
      <c r="O111" s="14"/>
      <c r="P111" s="1">
        <f>SUM(OSRRefP22_7x_0)</f>
        <v>507.64</v>
      </c>
      <c r="Q111" s="1"/>
      <c r="R111" s="5">
        <f t="shared" ref="R111:R115" si="68">IF(P$12=0,0,P111/P$12)</f>
        <v>4.0461735643309156E-4</v>
      </c>
      <c r="S111" s="1"/>
      <c r="T111" s="1">
        <f>SUM(OSRRefT22_7x_0)</f>
        <v>0</v>
      </c>
      <c r="U111" s="1"/>
      <c r="V111" s="5">
        <f t="shared" ref="V111:V115" si="69">IF(T$12=0,0,T111/T$12)</f>
        <v>0</v>
      </c>
      <c r="W111" s="1"/>
      <c r="X111" s="1">
        <f t="shared" ref="X111:X115" si="70">+P111-T111</f>
        <v>507.64</v>
      </c>
      <c r="Y111" s="1"/>
      <c r="Z111" s="5">
        <f t="shared" ref="Z111:Z115" si="71">IF(T111=0,0,X111/T111)</f>
        <v>0</v>
      </c>
    </row>
    <row r="112" spans="1:26" s="24" customFormat="1" hidden="1" outlineLevel="2" x14ac:dyDescent="0.25">
      <c r="A112" s="29"/>
      <c r="B112" s="11" t="str">
        <f>CONCATENATE("          ", "6336", " - ", "PROFESSIONAL SERVICES")</f>
        <v xml:space="preserve">          6336 - PROFESSIONAL SERVICES</v>
      </c>
      <c r="C112" s="11"/>
      <c r="D112" s="6">
        <v>507.64</v>
      </c>
      <c r="E112" s="2"/>
      <c r="F112" s="7">
        <f t="shared" si="64"/>
        <v>1.1288999407796756E-3</v>
      </c>
      <c r="G112" s="2"/>
      <c r="H112" s="6"/>
      <c r="I112" s="2"/>
      <c r="J112" s="7">
        <f t="shared" si="65"/>
        <v>0</v>
      </c>
      <c r="K112" s="2"/>
      <c r="L112" s="6">
        <f t="shared" si="66"/>
        <v>507.64</v>
      </c>
      <c r="M112" s="2"/>
      <c r="N112" s="7">
        <f t="shared" si="67"/>
        <v>0</v>
      </c>
      <c r="O112" s="11"/>
      <c r="P112" s="6">
        <v>507.64</v>
      </c>
      <c r="Q112" s="2"/>
      <c r="R112" s="7">
        <f t="shared" si="68"/>
        <v>4.0461735643309156E-4</v>
      </c>
      <c r="S112" s="2"/>
      <c r="T112" s="6"/>
      <c r="U112" s="2"/>
      <c r="V112" s="7">
        <f t="shared" si="69"/>
        <v>0</v>
      </c>
      <c r="W112" s="2"/>
      <c r="X112" s="6">
        <f t="shared" si="70"/>
        <v>507.64</v>
      </c>
      <c r="Y112" s="2"/>
      <c r="Z112" s="7">
        <f t="shared" si="71"/>
        <v>0</v>
      </c>
    </row>
    <row r="113" spans="1:26" s="28" customFormat="1" outlineLevel="1" collapsed="1" x14ac:dyDescent="0.25">
      <c r="A113" s="27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SUM(OSRRefD22_8x_0)</f>
        <v>0</v>
      </c>
      <c r="E113" s="1"/>
      <c r="F113" s="5">
        <f t="shared" si="64"/>
        <v>0</v>
      </c>
      <c r="G113" s="1"/>
      <c r="H113" s="1">
        <f>SUM(OSRRefH22_8x_0)</f>
        <v>0</v>
      </c>
      <c r="I113" s="1"/>
      <c r="J113" s="5">
        <f t="shared" si="65"/>
        <v>0</v>
      </c>
      <c r="K113" s="1"/>
      <c r="L113" s="1">
        <f t="shared" si="66"/>
        <v>0</v>
      </c>
      <c r="M113" s="1"/>
      <c r="N113" s="5">
        <f t="shared" si="67"/>
        <v>0</v>
      </c>
      <c r="O113" s="14"/>
      <c r="P113" s="1">
        <f>SUM(OSRRefP22_8x_0)</f>
        <v>9.24</v>
      </c>
      <c r="Q113" s="1"/>
      <c r="R113" s="5">
        <f t="shared" si="68"/>
        <v>7.3647946841103269E-6</v>
      </c>
      <c r="S113" s="1"/>
      <c r="T113" s="1">
        <f>SUM(OSRRefT22_8x_0)</f>
        <v>0</v>
      </c>
      <c r="U113" s="1"/>
      <c r="V113" s="5">
        <f t="shared" si="69"/>
        <v>0</v>
      </c>
      <c r="W113" s="1"/>
      <c r="X113" s="1">
        <f t="shared" si="70"/>
        <v>9.24</v>
      </c>
      <c r="Y113" s="1"/>
      <c r="Z113" s="5">
        <f t="shared" si="71"/>
        <v>0</v>
      </c>
    </row>
    <row r="114" spans="1:26" s="24" customFormat="1" hidden="1" outlineLevel="2" x14ac:dyDescent="0.25">
      <c r="A114" s="29"/>
      <c r="B114" s="11" t="str">
        <f>CONCATENATE("          ", "6373", " - ", "MAINTENANCE CONTRACTS")</f>
        <v xml:space="preserve">          6373 - MAINTENANCE CONTRACTS</v>
      </c>
      <c r="C114" s="11"/>
      <c r="D114" s="6"/>
      <c r="E114" s="2"/>
      <c r="F114" s="7">
        <f t="shared" si="64"/>
        <v>0</v>
      </c>
      <c r="G114" s="2"/>
      <c r="H114" s="6"/>
      <c r="I114" s="2"/>
      <c r="J114" s="7">
        <f t="shared" si="65"/>
        <v>0</v>
      </c>
      <c r="K114" s="2"/>
      <c r="L114" s="6">
        <f t="shared" si="66"/>
        <v>0</v>
      </c>
      <c r="M114" s="2"/>
      <c r="N114" s="7">
        <f t="shared" si="67"/>
        <v>0</v>
      </c>
      <c r="O114" s="11"/>
      <c r="P114" s="6">
        <v>5.7</v>
      </c>
      <c r="Q114" s="2"/>
      <c r="R114" s="7">
        <f t="shared" si="68"/>
        <v>4.543217499938189E-6</v>
      </c>
      <c r="S114" s="2"/>
      <c r="T114" s="6"/>
      <c r="U114" s="2"/>
      <c r="V114" s="7">
        <f t="shared" si="69"/>
        <v>0</v>
      </c>
      <c r="W114" s="2"/>
      <c r="X114" s="6">
        <f t="shared" si="70"/>
        <v>5.7</v>
      </c>
      <c r="Y114" s="2"/>
      <c r="Z114" s="7">
        <f t="shared" si="71"/>
        <v>0</v>
      </c>
    </row>
    <row r="115" spans="1:26" s="24" customFormat="1" hidden="1" outlineLevel="2" x14ac:dyDescent="0.25">
      <c r="A115" s="29"/>
      <c r="B115" s="11" t="str">
        <f>CONCATENATE("          ", "6375", " - ", "OUTSIDE REPAIRS &amp; MAINTENANCE")</f>
        <v xml:space="preserve">          6375 - OUTSIDE REPAIRS &amp; MAINTENANCE</v>
      </c>
      <c r="C115" s="11"/>
      <c r="D115" s="6"/>
      <c r="E115" s="2"/>
      <c r="F115" s="7">
        <f t="shared" si="64"/>
        <v>0</v>
      </c>
      <c r="G115" s="2"/>
      <c r="H115" s="6"/>
      <c r="I115" s="2"/>
      <c r="J115" s="7">
        <f t="shared" si="65"/>
        <v>0</v>
      </c>
      <c r="K115" s="2"/>
      <c r="L115" s="6">
        <f t="shared" si="66"/>
        <v>0</v>
      </c>
      <c r="M115" s="2"/>
      <c r="N115" s="7">
        <f t="shared" si="67"/>
        <v>0</v>
      </c>
      <c r="O115" s="11"/>
      <c r="P115" s="6">
        <v>3.54</v>
      </c>
      <c r="Q115" s="2"/>
      <c r="R115" s="7">
        <f t="shared" si="68"/>
        <v>2.8215771841721383E-6</v>
      </c>
      <c r="S115" s="2"/>
      <c r="T115" s="6"/>
      <c r="U115" s="2"/>
      <c r="V115" s="7">
        <f t="shared" si="69"/>
        <v>0</v>
      </c>
      <c r="W115" s="2"/>
      <c r="X115" s="6">
        <f t="shared" si="70"/>
        <v>3.54</v>
      </c>
      <c r="Y115" s="2"/>
      <c r="Z115" s="7">
        <f t="shared" si="71"/>
        <v>0</v>
      </c>
    </row>
    <row r="116" spans="1:26" s="28" customFormat="1" outlineLevel="1" collapsed="1" x14ac:dyDescent="0.25">
      <c r="A116" s="27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SUM(OSRRefD22_9x_0)</f>
        <v>8783.75</v>
      </c>
      <c r="E116" s="1"/>
      <c r="F116" s="5">
        <f t="shared" ref="F116:F118" si="72">IF(D$12=0,0,D116/D$12)</f>
        <v>1.9533478163311552E-2</v>
      </c>
      <c r="G116" s="1"/>
      <c r="H116" s="1">
        <f>SUM(OSRRefH22_9x_0)</f>
        <v>10489.6</v>
      </c>
      <c r="I116" s="1"/>
      <c r="J116" s="5">
        <f t="shared" ref="J116:J118" si="73">IF(H$12=0,0,H116/H$12)</f>
        <v>0.10855203245301767</v>
      </c>
      <c r="K116" s="1"/>
      <c r="L116" s="1">
        <f t="shared" ref="L116:L118" si="74">+D116-H116</f>
        <v>-1705.8500000000004</v>
      </c>
      <c r="M116" s="1"/>
      <c r="N116" s="5">
        <f t="shared" ref="N116:N118" si="75">IF(H116=0,0,L116/H116)</f>
        <v>-0.16262297895057964</v>
      </c>
      <c r="O116" s="14"/>
      <c r="P116" s="1">
        <f>SUM(OSRRefP22_9x_0)</f>
        <v>16132.79</v>
      </c>
      <c r="Q116" s="1"/>
      <c r="R116" s="5">
        <f t="shared" ref="R116:R118" si="76">IF(P$12=0,0,P116/P$12)</f>
        <v>1.2858732254531194E-2</v>
      </c>
      <c r="S116" s="1"/>
      <c r="T116" s="1">
        <f>SUM(OSRRefT22_9x_0)</f>
        <v>18411.8</v>
      </c>
      <c r="U116" s="1"/>
      <c r="V116" s="5">
        <f t="shared" ref="V116:V118" si="77">IF(T$12=0,0,T116/T$12)</f>
        <v>2.9383871673244223E-2</v>
      </c>
      <c r="W116" s="1"/>
      <c r="X116" s="1">
        <f t="shared" ref="X116:X118" si="78">+P116-T116</f>
        <v>-2279.0099999999984</v>
      </c>
      <c r="Y116" s="1"/>
      <c r="Z116" s="5">
        <f t="shared" ref="Z116:Z118" si="79">IF(T116=0,0,X116/T116)</f>
        <v>-0.12377985856896112</v>
      </c>
    </row>
    <row r="117" spans="1:26" s="24" customFormat="1" hidden="1" outlineLevel="2" x14ac:dyDescent="0.25">
      <c r="A117" s="29"/>
      <c r="B117" s="11" t="str">
        <f>CONCATENATE("          ", "6253", " - ", "ROYALTY DUE ATHLETICS-LRG")</f>
        <v xml:space="preserve">          6253 - ROYALTY DUE ATHLETICS-LRG</v>
      </c>
      <c r="C117" s="11"/>
      <c r="D117" s="6">
        <v>8783.75</v>
      </c>
      <c r="E117" s="2"/>
      <c r="F117" s="7">
        <f t="shared" si="72"/>
        <v>1.9533478163311552E-2</v>
      </c>
      <c r="G117" s="2"/>
      <c r="H117" s="6">
        <v>10489.6</v>
      </c>
      <c r="I117" s="2"/>
      <c r="J117" s="7">
        <f t="shared" si="73"/>
        <v>0.10855203245301767</v>
      </c>
      <c r="K117" s="2"/>
      <c r="L117" s="6">
        <f t="shared" si="74"/>
        <v>-1705.8500000000004</v>
      </c>
      <c r="M117" s="2"/>
      <c r="N117" s="7">
        <f t="shared" si="75"/>
        <v>-0.16262297895057964</v>
      </c>
      <c r="O117" s="11"/>
      <c r="P117" s="6">
        <v>23160.29</v>
      </c>
      <c r="Q117" s="2"/>
      <c r="R117" s="7">
        <f t="shared" si="76"/>
        <v>1.8460041198533936E-2</v>
      </c>
      <c r="S117" s="2"/>
      <c r="T117" s="6">
        <v>18411.8</v>
      </c>
      <c r="U117" s="2"/>
      <c r="V117" s="7">
        <f t="shared" si="77"/>
        <v>2.9383871673244223E-2</v>
      </c>
      <c r="W117" s="2"/>
      <c r="X117" s="6">
        <f t="shared" si="78"/>
        <v>4748.4900000000016</v>
      </c>
      <c r="Y117" s="2"/>
      <c r="Z117" s="7">
        <f t="shared" si="79"/>
        <v>0.25790471328169989</v>
      </c>
    </row>
    <row r="118" spans="1:26" s="24" customFormat="1" hidden="1" outlineLevel="2" x14ac:dyDescent="0.25">
      <c r="A118" s="29"/>
      <c r="B118" s="11" t="str">
        <f>CONCATENATE("          ", "6254", " - ", "ROYALTY &amp; COMMISSIONS")</f>
        <v xml:space="preserve">          6254 - ROYALTY &amp; COMMISSIONS</v>
      </c>
      <c r="C118" s="11"/>
      <c r="D118" s="6"/>
      <c r="E118" s="2"/>
      <c r="F118" s="7">
        <f t="shared" si="72"/>
        <v>0</v>
      </c>
      <c r="G118" s="2"/>
      <c r="H118" s="6"/>
      <c r="I118" s="2"/>
      <c r="J118" s="7">
        <f t="shared" si="73"/>
        <v>0</v>
      </c>
      <c r="K118" s="2"/>
      <c r="L118" s="6">
        <f t="shared" si="74"/>
        <v>0</v>
      </c>
      <c r="M118" s="2"/>
      <c r="N118" s="7">
        <f t="shared" si="75"/>
        <v>0</v>
      </c>
      <c r="O118" s="11"/>
      <c r="P118" s="6">
        <v>-7027.5</v>
      </c>
      <c r="Q118" s="2"/>
      <c r="R118" s="7">
        <f t="shared" si="76"/>
        <v>-5.6013089440027398E-3</v>
      </c>
      <c r="S118" s="2"/>
      <c r="T118" s="6"/>
      <c r="U118" s="2"/>
      <c r="V118" s="7">
        <f t="shared" si="77"/>
        <v>0</v>
      </c>
      <c r="W118" s="2"/>
      <c r="X118" s="6">
        <f t="shared" si="78"/>
        <v>-7027.5</v>
      </c>
      <c r="Y118" s="2"/>
      <c r="Z118" s="7">
        <f t="shared" si="79"/>
        <v>0</v>
      </c>
    </row>
    <row r="119" spans="1:26" s="28" customFormat="1" outlineLevel="1" collapsed="1" x14ac:dyDescent="0.25">
      <c r="A119" s="27"/>
      <c r="B119" s="14" t="str">
        <f>CONCATENATE("     ","Subscriptions &amp; Dues                              ")</f>
        <v xml:space="preserve">     Subscriptions &amp; Dues                              </v>
      </c>
      <c r="C119" s="14"/>
      <c r="D119" s="1">
        <f>SUM(OSRRefD22_10x_0)</f>
        <v>0</v>
      </c>
      <c r="E119" s="1"/>
      <c r="F119" s="5">
        <f t="shared" ref="F119:F124" si="80">IF(D$12=0,0,D119/D$12)</f>
        <v>0</v>
      </c>
      <c r="G119" s="1"/>
      <c r="H119" s="1">
        <f>SUM(OSRRefH22_10x_0)</f>
        <v>0</v>
      </c>
      <c r="I119" s="1"/>
      <c r="J119" s="5">
        <f t="shared" ref="J119:J124" si="81">IF(H$12=0,0,H119/H$12)</f>
        <v>0</v>
      </c>
      <c r="K119" s="1"/>
      <c r="L119" s="1">
        <f t="shared" ref="L119:L124" si="82">+D119-H119</f>
        <v>0</v>
      </c>
      <c r="M119" s="1"/>
      <c r="N119" s="5">
        <f t="shared" ref="N119:N124" si="83">IF(H119=0,0,L119/H119)</f>
        <v>0</v>
      </c>
      <c r="O119" s="14"/>
      <c r="P119" s="1">
        <f>SUM(OSRRefP22_10x_0)</f>
        <v>0</v>
      </c>
      <c r="Q119" s="1"/>
      <c r="R119" s="5">
        <f t="shared" ref="R119:R124" si="84">IF(P$12=0,0,P119/P$12)</f>
        <v>0</v>
      </c>
      <c r="S119" s="1"/>
      <c r="T119" s="1">
        <f>SUM(OSRRefT22_10x_0)</f>
        <v>75.73</v>
      </c>
      <c r="U119" s="1"/>
      <c r="V119" s="5">
        <f t="shared" ref="V119:V124" si="85">IF(T$12=0,0,T119/T$12)</f>
        <v>1.2085948151809087E-4</v>
      </c>
      <c r="W119" s="1"/>
      <c r="X119" s="1">
        <f t="shared" ref="X119:X124" si="86">+P119-T119</f>
        <v>-75.73</v>
      </c>
      <c r="Y119" s="1"/>
      <c r="Z119" s="5">
        <f t="shared" ref="Z119:Z124" si="87">IF(T119=0,0,X119/T119)</f>
        <v>-1</v>
      </c>
    </row>
    <row r="120" spans="1:26" s="24" customFormat="1" hidden="1" outlineLevel="2" x14ac:dyDescent="0.25">
      <c r="A120" s="29"/>
      <c r="B120" s="11" t="str">
        <f>CONCATENATE("          ", "6275", " - ", "SUBSCRIPTIONS")</f>
        <v xml:space="preserve">          6275 - SUBSCRIPTIONS</v>
      </c>
      <c r="C120" s="11"/>
      <c r="D120" s="6"/>
      <c r="E120" s="2"/>
      <c r="F120" s="7">
        <f t="shared" si="80"/>
        <v>0</v>
      </c>
      <c r="G120" s="2"/>
      <c r="H120" s="6"/>
      <c r="I120" s="2"/>
      <c r="J120" s="7">
        <f t="shared" si="81"/>
        <v>0</v>
      </c>
      <c r="K120" s="2"/>
      <c r="L120" s="6">
        <f t="shared" si="82"/>
        <v>0</v>
      </c>
      <c r="M120" s="2"/>
      <c r="N120" s="7">
        <f t="shared" si="83"/>
        <v>0</v>
      </c>
      <c r="O120" s="11"/>
      <c r="P120" s="6"/>
      <c r="Q120" s="2"/>
      <c r="R120" s="7">
        <f t="shared" si="84"/>
        <v>0</v>
      </c>
      <c r="S120" s="2"/>
      <c r="T120" s="6">
        <v>75.73</v>
      </c>
      <c r="U120" s="2"/>
      <c r="V120" s="7">
        <f t="shared" si="85"/>
        <v>1.2085948151809087E-4</v>
      </c>
      <c r="W120" s="2"/>
      <c r="X120" s="6">
        <f t="shared" si="86"/>
        <v>-75.73</v>
      </c>
      <c r="Y120" s="2"/>
      <c r="Z120" s="7">
        <f t="shared" si="87"/>
        <v>-1</v>
      </c>
    </row>
    <row r="121" spans="1:26" s="28" customFormat="1" outlineLevel="1" collapsed="1" x14ac:dyDescent="0.25">
      <c r="A121" s="27"/>
      <c r="B121" s="14" t="str">
        <f>CONCATENATE("     ","Supplies                                          ")</f>
        <v xml:space="preserve">     Supplies                                          </v>
      </c>
      <c r="C121" s="14"/>
      <c r="D121" s="1">
        <f>SUM(OSRRefD22_11x_0)</f>
        <v>1228.48</v>
      </c>
      <c r="E121" s="1"/>
      <c r="F121" s="5">
        <f t="shared" si="80"/>
        <v>2.7319182870715782E-3</v>
      </c>
      <c r="G121" s="1"/>
      <c r="H121" s="1">
        <f>SUM(OSRRefH22_11x_0)</f>
        <v>206.87</v>
      </c>
      <c r="I121" s="1"/>
      <c r="J121" s="5">
        <f t="shared" si="81"/>
        <v>2.1408022187267167E-3</v>
      </c>
      <c r="K121" s="1"/>
      <c r="L121" s="1">
        <f t="shared" si="82"/>
        <v>1021.61</v>
      </c>
      <c r="M121" s="1"/>
      <c r="N121" s="5">
        <f t="shared" si="83"/>
        <v>4.9384154299801803</v>
      </c>
      <c r="O121" s="14"/>
      <c r="P121" s="1">
        <f>SUM(OSRRefP22_11x_0)</f>
        <v>6884.03</v>
      </c>
      <c r="Q121" s="1"/>
      <c r="R121" s="5">
        <f t="shared" si="84"/>
        <v>5.4869553624735945E-3</v>
      </c>
      <c r="S121" s="1"/>
      <c r="T121" s="1">
        <f>SUM(OSRRefT22_11x_0)</f>
        <v>1306.6100000000001</v>
      </c>
      <c r="U121" s="1"/>
      <c r="V121" s="5">
        <f t="shared" si="85"/>
        <v>2.0852529664116297E-3</v>
      </c>
      <c r="W121" s="1"/>
      <c r="X121" s="1">
        <f t="shared" si="86"/>
        <v>5577.42</v>
      </c>
      <c r="Y121" s="1"/>
      <c r="Z121" s="5">
        <f t="shared" si="87"/>
        <v>4.2686187921414955</v>
      </c>
    </row>
    <row r="122" spans="1:26" s="24" customFormat="1" hidden="1" outlineLevel="2" x14ac:dyDescent="0.25">
      <c r="A122" s="29"/>
      <c r="B122" s="11" t="str">
        <f>CONCATENATE("          ", "6235", " - ", "COVID-19 EXPENSES")</f>
        <v xml:space="preserve">          6235 - COVID-19 EXPENSES</v>
      </c>
      <c r="C122" s="11"/>
      <c r="D122" s="6"/>
      <c r="E122" s="2"/>
      <c r="F122" s="7">
        <f t="shared" si="80"/>
        <v>0</v>
      </c>
      <c r="G122" s="2"/>
      <c r="H122" s="6"/>
      <c r="I122" s="2"/>
      <c r="J122" s="7">
        <f t="shared" si="81"/>
        <v>0</v>
      </c>
      <c r="K122" s="2"/>
      <c r="L122" s="6">
        <f t="shared" si="82"/>
        <v>0</v>
      </c>
      <c r="M122" s="2"/>
      <c r="N122" s="7">
        <f t="shared" si="83"/>
        <v>0</v>
      </c>
      <c r="O122" s="11"/>
      <c r="P122" s="6"/>
      <c r="Q122" s="2"/>
      <c r="R122" s="7">
        <f t="shared" si="84"/>
        <v>0</v>
      </c>
      <c r="S122" s="2"/>
      <c r="T122" s="6">
        <v>961.38</v>
      </c>
      <c r="U122" s="2"/>
      <c r="V122" s="7">
        <f t="shared" si="85"/>
        <v>1.5342914081851603E-3</v>
      </c>
      <c r="W122" s="2"/>
      <c r="X122" s="6">
        <f t="shared" si="86"/>
        <v>-961.38</v>
      </c>
      <c r="Y122" s="2"/>
      <c r="Z122" s="7">
        <f t="shared" si="87"/>
        <v>-1</v>
      </c>
    </row>
    <row r="123" spans="1:26" s="24" customFormat="1" hidden="1" outlineLevel="2" x14ac:dyDescent="0.25">
      <c r="A123" s="29"/>
      <c r="B123" s="11" t="str">
        <f>CONCATENATE("          ", "6241", " - ", "OFFICE EXPENSE")</f>
        <v xml:space="preserve">          6241 - OFFICE EXPENSE</v>
      </c>
      <c r="C123" s="11"/>
      <c r="D123" s="6">
        <v>269.39</v>
      </c>
      <c r="E123" s="2"/>
      <c r="F123" s="7">
        <f t="shared" si="80"/>
        <v>5.9907484643967541E-4</v>
      </c>
      <c r="G123" s="2"/>
      <c r="H123" s="6">
        <v>20.16</v>
      </c>
      <c r="I123" s="2"/>
      <c r="J123" s="7">
        <f t="shared" si="81"/>
        <v>2.0862654193227922E-4</v>
      </c>
      <c r="K123" s="2"/>
      <c r="L123" s="6">
        <f t="shared" si="82"/>
        <v>249.23</v>
      </c>
      <c r="M123" s="2"/>
      <c r="N123" s="7">
        <f t="shared" si="83"/>
        <v>12.362599206349206</v>
      </c>
      <c r="O123" s="11"/>
      <c r="P123" s="6">
        <v>666.88</v>
      </c>
      <c r="Q123" s="2"/>
      <c r="R123" s="7">
        <f t="shared" si="84"/>
        <v>5.3154050637873316E-4</v>
      </c>
      <c r="S123" s="2"/>
      <c r="T123" s="6">
        <v>158.52000000000001</v>
      </c>
      <c r="U123" s="2"/>
      <c r="V123" s="7">
        <f t="shared" si="85"/>
        <v>2.5298620111247543E-4</v>
      </c>
      <c r="W123" s="2"/>
      <c r="X123" s="6">
        <f t="shared" si="86"/>
        <v>508.36</v>
      </c>
      <c r="Y123" s="2"/>
      <c r="Z123" s="7">
        <f t="shared" si="87"/>
        <v>3.2069139540751954</v>
      </c>
    </row>
    <row r="124" spans="1:26" s="24" customFormat="1" hidden="1" outlineLevel="2" x14ac:dyDescent="0.25">
      <c r="A124" s="29"/>
      <c r="B124" s="11" t="str">
        <f>CONCATENATE("          ", "6247", " - ", "STORE SUPPLIES")</f>
        <v xml:space="preserve">          6247 - STORE SUPPLIES</v>
      </c>
      <c r="C124" s="11"/>
      <c r="D124" s="6">
        <v>959.09</v>
      </c>
      <c r="E124" s="2"/>
      <c r="F124" s="7">
        <f t="shared" si="80"/>
        <v>2.1328434406319031E-3</v>
      </c>
      <c r="G124" s="2"/>
      <c r="H124" s="6">
        <v>186.71</v>
      </c>
      <c r="I124" s="2"/>
      <c r="J124" s="7">
        <f t="shared" si="81"/>
        <v>1.9321756767944373E-3</v>
      </c>
      <c r="K124" s="2"/>
      <c r="L124" s="6">
        <f t="shared" si="82"/>
        <v>772.38</v>
      </c>
      <c r="M124" s="2"/>
      <c r="N124" s="7">
        <f t="shared" si="83"/>
        <v>4.136789673825719</v>
      </c>
      <c r="O124" s="11"/>
      <c r="P124" s="6">
        <v>6217.15</v>
      </c>
      <c r="Q124" s="2"/>
      <c r="R124" s="7">
        <f t="shared" si="84"/>
        <v>4.9554148560948608E-3</v>
      </c>
      <c r="S124" s="2"/>
      <c r="T124" s="6">
        <v>186.71</v>
      </c>
      <c r="U124" s="2"/>
      <c r="V124" s="7">
        <f t="shared" si="85"/>
        <v>2.9797535711399372E-4</v>
      </c>
      <c r="W124" s="2"/>
      <c r="X124" s="6">
        <f t="shared" si="86"/>
        <v>6030.44</v>
      </c>
      <c r="Y124" s="2"/>
      <c r="Z124" s="7">
        <f t="shared" si="87"/>
        <v>32.298430721439665</v>
      </c>
    </row>
    <row r="125" spans="1:26" s="28" customFormat="1" outlineLevel="1" collapsed="1" x14ac:dyDescent="0.25">
      <c r="A125" s="27"/>
      <c r="B125" s="14" t="str">
        <f>CONCATENATE("     ","Telephone/Data Lines                              ")</f>
        <v xml:space="preserve">     Telephone/Data Lines                              </v>
      </c>
      <c r="C125" s="14"/>
      <c r="D125" s="1">
        <f>SUM(OSRRefD22_12x_0)</f>
        <v>405.45</v>
      </c>
      <c r="E125" s="1"/>
      <c r="F125" s="5">
        <f t="shared" ref="F125:F128" si="88">IF(D$12=0,0,D125/D$12)</f>
        <v>9.0164778384114628E-4</v>
      </c>
      <c r="G125" s="1"/>
      <c r="H125" s="1">
        <f>SUM(OSRRefH22_12x_0)</f>
        <v>274.55</v>
      </c>
      <c r="I125" s="1"/>
      <c r="J125" s="5">
        <f t="shared" ref="J125:J128" si="89">IF(H$12=0,0,H125/H$12)</f>
        <v>2.8411913237850824E-3</v>
      </c>
      <c r="K125" s="1"/>
      <c r="L125" s="1">
        <f t="shared" ref="L125:L128" si="90">+D125-H125</f>
        <v>130.89999999999998</v>
      </c>
      <c r="M125" s="1"/>
      <c r="N125" s="5">
        <f t="shared" ref="N125:N128" si="91">IF(H125=0,0,L125/H125)</f>
        <v>0.47678018575851383</v>
      </c>
      <c r="O125" s="14"/>
      <c r="P125" s="1">
        <f>SUM(OSRRefP22_12x_0)</f>
        <v>790.6</v>
      </c>
      <c r="Q125" s="1"/>
      <c r="R125" s="5">
        <f t="shared" ref="R125:R128" si="92">IF(P$12=0,0,P125/P$12)</f>
        <v>6.3015223779844416E-4</v>
      </c>
      <c r="S125" s="1"/>
      <c r="T125" s="1">
        <f>SUM(OSRRefT22_12x_0)</f>
        <v>2020.33</v>
      </c>
      <c r="U125" s="1"/>
      <c r="V125" s="5">
        <f t="shared" ref="V125:V128" si="93">IF(T$12=0,0,T125/T$12)</f>
        <v>3.2242973233255578E-3</v>
      </c>
      <c r="W125" s="1"/>
      <c r="X125" s="1">
        <f t="shared" ref="X125:X128" si="94">+P125-T125</f>
        <v>-1229.73</v>
      </c>
      <c r="Y125" s="1"/>
      <c r="Z125" s="5">
        <f t="shared" ref="Z125:Z128" si="95">IF(T125=0,0,X125/T125)</f>
        <v>-0.60867779026198698</v>
      </c>
    </row>
    <row r="126" spans="1:26" s="24" customFormat="1" hidden="1" outlineLevel="2" x14ac:dyDescent="0.25">
      <c r="A126" s="29"/>
      <c r="B126" s="11" t="str">
        <f>CONCATENATE("          ", "6309", " - ", "TELEPHONE")</f>
        <v xml:space="preserve">          6309 - TELEPHONE</v>
      </c>
      <c r="C126" s="11"/>
      <c r="D126" s="6">
        <v>405.45</v>
      </c>
      <c r="E126" s="2"/>
      <c r="F126" s="7">
        <f t="shared" si="88"/>
        <v>9.0164778384114628E-4</v>
      </c>
      <c r="G126" s="2"/>
      <c r="H126" s="6">
        <v>274.55</v>
      </c>
      <c r="I126" s="2"/>
      <c r="J126" s="7">
        <f t="shared" si="89"/>
        <v>2.8411913237850824E-3</v>
      </c>
      <c r="K126" s="2"/>
      <c r="L126" s="6">
        <f t="shared" si="90"/>
        <v>130.89999999999998</v>
      </c>
      <c r="M126" s="2"/>
      <c r="N126" s="7">
        <f t="shared" si="91"/>
        <v>0.47678018575851383</v>
      </c>
      <c r="O126" s="11"/>
      <c r="P126" s="6">
        <v>790.6</v>
      </c>
      <c r="Q126" s="2"/>
      <c r="R126" s="7">
        <f t="shared" si="92"/>
        <v>6.3015223779844416E-4</v>
      </c>
      <c r="S126" s="2"/>
      <c r="T126" s="6">
        <v>2020.33</v>
      </c>
      <c r="U126" s="2"/>
      <c r="V126" s="7">
        <f t="shared" si="93"/>
        <v>3.2242973233255578E-3</v>
      </c>
      <c r="W126" s="2"/>
      <c r="X126" s="6">
        <f t="shared" si="94"/>
        <v>-1229.73</v>
      </c>
      <c r="Y126" s="2"/>
      <c r="Z126" s="7">
        <f t="shared" si="95"/>
        <v>-0.60867779026198698</v>
      </c>
    </row>
    <row r="127" spans="1:26" s="28" customFormat="1" outlineLevel="1" collapsed="1" x14ac:dyDescent="0.25">
      <c r="A127" s="27"/>
      <c r="B127" s="14" t="str">
        <f>CONCATENATE("     ","Travel                                            ")</f>
        <v xml:space="preserve">     Travel                                            </v>
      </c>
      <c r="C127" s="14"/>
      <c r="D127" s="1">
        <f>SUM(OSRRefD22_13x_0)</f>
        <v>0</v>
      </c>
      <c r="E127" s="1"/>
      <c r="F127" s="5">
        <f t="shared" si="88"/>
        <v>0</v>
      </c>
      <c r="G127" s="1"/>
      <c r="H127" s="1">
        <f>SUM(OSRRefH22_13x_0)</f>
        <v>0</v>
      </c>
      <c r="I127" s="1"/>
      <c r="J127" s="5">
        <f t="shared" si="89"/>
        <v>0</v>
      </c>
      <c r="K127" s="1"/>
      <c r="L127" s="1">
        <f t="shared" si="90"/>
        <v>0</v>
      </c>
      <c r="M127" s="1"/>
      <c r="N127" s="5">
        <f t="shared" si="91"/>
        <v>0</v>
      </c>
      <c r="O127" s="14"/>
      <c r="P127" s="1">
        <f>SUM(OSRRefP22_13x_0)</f>
        <v>40.32</v>
      </c>
      <c r="Q127" s="1"/>
      <c r="R127" s="5">
        <f t="shared" si="92"/>
        <v>3.2137285894299609E-5</v>
      </c>
      <c r="S127" s="1"/>
      <c r="T127" s="1">
        <f>SUM(OSRRefT22_13x_0)</f>
        <v>0</v>
      </c>
      <c r="U127" s="1"/>
      <c r="V127" s="5">
        <f t="shared" si="93"/>
        <v>0</v>
      </c>
      <c r="W127" s="1"/>
      <c r="X127" s="1">
        <f t="shared" si="94"/>
        <v>40.32</v>
      </c>
      <c r="Y127" s="1"/>
      <c r="Z127" s="5">
        <f t="shared" si="95"/>
        <v>0</v>
      </c>
    </row>
    <row r="128" spans="1:26" s="24" customFormat="1" hidden="1" outlineLevel="2" x14ac:dyDescent="0.25">
      <c r="A128" s="29"/>
      <c r="B128" s="11" t="str">
        <f>CONCATENATE("          ", "6294", " - ", "TRAVEL OPERATIONAL")</f>
        <v xml:space="preserve">          6294 - TRAVEL OPERATIONAL</v>
      </c>
      <c r="C128" s="11"/>
      <c r="D128" s="6"/>
      <c r="E128" s="2"/>
      <c r="F128" s="7">
        <f t="shared" si="88"/>
        <v>0</v>
      </c>
      <c r="G128" s="2"/>
      <c r="H128" s="6"/>
      <c r="I128" s="2"/>
      <c r="J128" s="7">
        <f t="shared" si="89"/>
        <v>0</v>
      </c>
      <c r="K128" s="2"/>
      <c r="L128" s="6">
        <f t="shared" si="90"/>
        <v>0</v>
      </c>
      <c r="M128" s="2"/>
      <c r="N128" s="7">
        <f t="shared" si="91"/>
        <v>0</v>
      </c>
      <c r="O128" s="11"/>
      <c r="P128" s="6">
        <v>40.32</v>
      </c>
      <c r="Q128" s="2"/>
      <c r="R128" s="7">
        <f t="shared" si="92"/>
        <v>3.2137285894299609E-5</v>
      </c>
      <c r="S128" s="2"/>
      <c r="T128" s="6"/>
      <c r="U128" s="2"/>
      <c r="V128" s="7">
        <f t="shared" si="93"/>
        <v>0</v>
      </c>
      <c r="W128" s="2"/>
      <c r="X128" s="6">
        <f t="shared" si="94"/>
        <v>40.32</v>
      </c>
      <c r="Y128" s="2"/>
      <c r="Z128" s="7">
        <f t="shared" si="95"/>
        <v>0</v>
      </c>
    </row>
    <row r="129" spans="1:26" s="56" customFormat="1" x14ac:dyDescent="0.25">
      <c r="A129" s="37"/>
      <c r="B129" s="37"/>
      <c r="C129" s="37"/>
      <c r="D129" s="1"/>
      <c r="E129" s="1"/>
      <c r="F129" s="5"/>
      <c r="G129" s="1"/>
      <c r="H129" s="1"/>
      <c r="I129" s="1"/>
      <c r="J129" s="5"/>
      <c r="K129" s="1"/>
      <c r="L129" s="1"/>
      <c r="M129" s="1"/>
      <c r="N129" s="5"/>
      <c r="O129" s="37"/>
      <c r="P129" s="1"/>
      <c r="Q129" s="1"/>
      <c r="R129" s="5"/>
      <c r="S129" s="1"/>
      <c r="T129" s="1"/>
      <c r="U129" s="1"/>
      <c r="V129" s="5"/>
      <c r="W129" s="1"/>
      <c r="X129" s="1"/>
      <c r="Y129" s="1"/>
      <c r="Z129" s="5"/>
    </row>
    <row r="130" spans="1:26" s="23" customFormat="1" collapsed="1" x14ac:dyDescent="0.25">
      <c r="A130" s="10"/>
      <c r="B130" s="25" t="s">
        <v>292</v>
      </c>
      <c r="C130" s="10"/>
      <c r="D130" s="4">
        <f>SUM(OSRRefD25x_0)</f>
        <v>27298.799999999999</v>
      </c>
      <c r="E130" s="4"/>
      <c r="F130" s="12">
        <f t="shared" ref="F130:F132" si="96">IF(D$12=0,0,D130/D$12)</f>
        <v>6.0707615048767254E-2</v>
      </c>
      <c r="G130" s="4"/>
      <c r="H130" s="4">
        <f>SUM(OSRRefH25x_0)</f>
        <v>20979.200000000001</v>
      </c>
      <c r="I130" s="4"/>
      <c r="J130" s="12">
        <f t="shared" ref="J130:J132" si="97">IF(H$12=0,0,H130/H$12)</f>
        <v>0.21710406490603534</v>
      </c>
      <c r="K130" s="4"/>
      <c r="L130" s="4">
        <f t="shared" ref="L130:L132" si="98">+D130-H130</f>
        <v>6319.5999999999985</v>
      </c>
      <c r="M130" s="4"/>
      <c r="N130" s="12">
        <f t="shared" ref="N130:N132" si="99">IF(H130=0,0,L130/H130)</f>
        <v>0.30123169615619272</v>
      </c>
      <c r="O130" s="10"/>
      <c r="P130" s="4">
        <f>SUM(OSRRefP25x_0)</f>
        <v>119063.12</v>
      </c>
      <c r="Q130" s="4"/>
      <c r="R130" s="12">
        <f t="shared" ref="R130:R132" si="100">IF(P$12=0,0,P130/P$12)</f>
        <v>9.4899938663375524E-2</v>
      </c>
      <c r="S130" s="4"/>
      <c r="T130" s="4">
        <f>SUM(OSRRefT25x_0)</f>
        <v>192987.51</v>
      </c>
      <c r="U130" s="4"/>
      <c r="V130" s="12">
        <f t="shared" ref="V130:V132" si="101">IF(T$12=0,0,T130/T$12)</f>
        <v>0.30799379899732438</v>
      </c>
      <c r="W130" s="4"/>
      <c r="X130" s="4">
        <f t="shared" ref="X130:X132" si="102">+P130-T130</f>
        <v>-73924.390000000014</v>
      </c>
      <c r="Y130" s="4"/>
      <c r="Z130" s="12">
        <f t="shared" ref="Z130:Z132" si="103">IF(T130=0,0,X130/T130)</f>
        <v>-0.38305271672762664</v>
      </c>
    </row>
    <row r="131" spans="1:26" s="24" customFormat="1" hidden="1" outlineLevel="1" x14ac:dyDescent="0.25">
      <c r="A131" s="44"/>
      <c r="B131" s="11" t="str">
        <f>CONCATENATE("          ", "9150", " - ", "MISC. INCOME")</f>
        <v xml:space="preserve">          9150 - MISC. INCOME</v>
      </c>
      <c r="C131" s="11"/>
      <c r="D131" s="2">
        <f>--17561.84</f>
        <v>17561.84</v>
      </c>
      <c r="E131" s="2"/>
      <c r="F131" s="19">
        <f t="shared" si="96"/>
        <v>3.9054369505913913E-2</v>
      </c>
      <c r="G131" s="2"/>
      <c r="H131" s="2">
        <f>--20979.2</f>
        <v>20979.200000000001</v>
      </c>
      <c r="I131" s="2"/>
      <c r="J131" s="19">
        <f t="shared" si="97"/>
        <v>0.21710406490603534</v>
      </c>
      <c r="K131" s="2"/>
      <c r="L131" s="2">
        <f t="shared" si="98"/>
        <v>-3417.3600000000006</v>
      </c>
      <c r="M131" s="2"/>
      <c r="N131" s="19">
        <f t="shared" si="99"/>
        <v>-0.16289276998169619</v>
      </c>
      <c r="O131" s="11"/>
      <c r="P131" s="2">
        <f>--46314.92</f>
        <v>46314.92</v>
      </c>
      <c r="Q131" s="2"/>
      <c r="R131" s="19">
        <f t="shared" si="100"/>
        <v>3.6915571061796E-2</v>
      </c>
      <c r="S131" s="2"/>
      <c r="T131" s="2">
        <f>--32323.61</f>
        <v>32323.61</v>
      </c>
      <c r="U131" s="2"/>
      <c r="V131" s="19">
        <f t="shared" si="101"/>
        <v>5.1586091976666804E-2</v>
      </c>
      <c r="W131" s="2"/>
      <c r="X131" s="2">
        <f t="shared" si="102"/>
        <v>13991.309999999998</v>
      </c>
      <c r="Y131" s="2"/>
      <c r="Z131" s="19">
        <f t="shared" si="103"/>
        <v>0.43285109553048057</v>
      </c>
    </row>
    <row r="132" spans="1:26" s="24" customFormat="1" hidden="1" outlineLevel="1" x14ac:dyDescent="0.25">
      <c r="A132" s="44"/>
      <c r="B132" s="11" t="str">
        <f>CONCATENATE("          ", "9163", " - ", "MISC. INCOME")</f>
        <v xml:space="preserve">          9163 - MISC. INCOME</v>
      </c>
      <c r="C132" s="11"/>
      <c r="D132" s="2">
        <f>--9736.96</f>
        <v>9736.9599999999991</v>
      </c>
      <c r="E132" s="2"/>
      <c r="F132" s="19">
        <f t="shared" si="96"/>
        <v>2.165324554285334E-2</v>
      </c>
      <c r="G132" s="2"/>
      <c r="H132" s="2">
        <f>0</f>
        <v>0</v>
      </c>
      <c r="I132" s="2"/>
      <c r="J132" s="19">
        <f t="shared" si="97"/>
        <v>0</v>
      </c>
      <c r="K132" s="2"/>
      <c r="L132" s="2">
        <f t="shared" si="98"/>
        <v>9736.9599999999991</v>
      </c>
      <c r="M132" s="2"/>
      <c r="N132" s="19">
        <f t="shared" si="99"/>
        <v>0</v>
      </c>
      <c r="O132" s="11"/>
      <c r="P132" s="2">
        <f>--72748.2</f>
        <v>72748.2</v>
      </c>
      <c r="Q132" s="2"/>
      <c r="R132" s="19">
        <f t="shared" si="100"/>
        <v>5.7984367601579531E-2</v>
      </c>
      <c r="S132" s="2"/>
      <c r="T132" s="2">
        <f>--160663.9</f>
        <v>160663.9</v>
      </c>
      <c r="U132" s="2"/>
      <c r="V132" s="19">
        <f t="shared" si="101"/>
        <v>0.25640770702065757</v>
      </c>
      <c r="W132" s="2"/>
      <c r="X132" s="2">
        <f t="shared" si="102"/>
        <v>-87915.7</v>
      </c>
      <c r="Y132" s="2"/>
      <c r="Z132" s="19">
        <f t="shared" si="103"/>
        <v>-0.54720257630992397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6" t="s">
        <v>276</v>
      </c>
      <c r="C134" s="26"/>
      <c r="D134" s="22">
        <f>+D80-D82+D130</f>
        <v>129774.58000000002</v>
      </c>
      <c r="E134" s="13"/>
      <c r="F134" s="20">
        <f>IF(D$12=0,0,D134/D$12)</f>
        <v>0.28859529524211508</v>
      </c>
      <c r="G134" s="13"/>
      <c r="H134" s="22">
        <f>+H80-H82+H130</f>
        <v>11648.599999999966</v>
      </c>
      <c r="I134" s="13"/>
      <c r="J134" s="20">
        <f>IF(H$12=0,0,H134/H$12)</f>
        <v>0.1205459889063661</v>
      </c>
      <c r="K134" s="15"/>
      <c r="L134" s="22">
        <f>+D134-H134</f>
        <v>118125.98000000005</v>
      </c>
      <c r="M134" s="15"/>
      <c r="N134" s="20">
        <f>IF(H134=0,0,L134/H134)</f>
        <v>10.140787734148343</v>
      </c>
      <c r="O134" s="25"/>
      <c r="P134" s="22">
        <f>+P80-P82+P130</f>
        <v>429639.99000000005</v>
      </c>
      <c r="Q134" s="13"/>
      <c r="R134" s="20">
        <f>IF(P$12=0,0,P134/P$12)</f>
        <v>0.34244700372653836</v>
      </c>
      <c r="S134" s="13"/>
      <c r="T134" s="22">
        <f>+T80-T82+T130</f>
        <v>235442.04999999996</v>
      </c>
      <c r="U134" s="13"/>
      <c r="V134" s="20">
        <f>IF(T$12=0,0,T134/T$12)</f>
        <v>0.37574810630604011</v>
      </c>
      <c r="W134" s="15"/>
      <c r="X134" s="22">
        <f>+P134-T134</f>
        <v>194197.94000000009</v>
      </c>
      <c r="Y134" s="15"/>
      <c r="Z134" s="20">
        <f>IF(T134=0,0,X134/T134)</f>
        <v>0.82482266867791931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1"/>
      <c r="B136" s="10" t="s">
        <v>127</v>
      </c>
      <c r="C136" s="10"/>
      <c r="D136" s="4">
        <v>45391.360000000001</v>
      </c>
      <c r="E136" s="4"/>
      <c r="F136" s="12">
        <f>IF(D$12=0,0,D136/D$12)</f>
        <v>0.10094221025905944</v>
      </c>
      <c r="G136" s="4"/>
      <c r="H136" s="4">
        <v>37555.699999999997</v>
      </c>
      <c r="I136" s="4"/>
      <c r="J136" s="12">
        <f>IF(H$12=0,0,H136/H$12)</f>
        <v>0.38864661809752471</v>
      </c>
      <c r="K136" s="4"/>
      <c r="L136" s="4">
        <f>+D136-H136</f>
        <v>7835.6600000000035</v>
      </c>
      <c r="M136" s="4"/>
      <c r="N136" s="12">
        <f>IF(H136=0,0,L136/H136)</f>
        <v>0.20864103185401961</v>
      </c>
      <c r="O136" s="10"/>
      <c r="P136" s="4">
        <v>145023.41</v>
      </c>
      <c r="Q136" s="4"/>
      <c r="R136" s="12">
        <f>IF(P$12=0,0,P136/P$12)</f>
        <v>0.11559173582679139</v>
      </c>
      <c r="S136" s="4"/>
      <c r="T136" s="4">
        <v>135734.07</v>
      </c>
      <c r="U136" s="4"/>
      <c r="V136" s="12">
        <f>IF(T$12=0,0,T136/T$12)</f>
        <v>0.2166215413249736</v>
      </c>
      <c r="W136" s="4"/>
      <c r="X136" s="4">
        <f>+P136-T136</f>
        <v>9289.3399999999965</v>
      </c>
      <c r="Y136" s="4"/>
      <c r="Z136" s="12">
        <f>IF(T136=0,0,X136/T136)</f>
        <v>6.8437791631828296E-2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6" t="s">
        <v>125</v>
      </c>
      <c r="C138" s="26"/>
      <c r="D138" s="33">
        <f>+D134-D136</f>
        <v>84383.220000000016</v>
      </c>
      <c r="E138" s="13"/>
      <c r="F138" s="31">
        <f>IF(D$12=0,0,D138/D$12)</f>
        <v>0.18765308498305563</v>
      </c>
      <c r="G138" s="13"/>
      <c r="H138" s="33">
        <f>+H134-H136</f>
        <v>-25907.100000000031</v>
      </c>
      <c r="I138" s="13"/>
      <c r="J138" s="31">
        <f>IF(H$12=0,0,H138/H$12)</f>
        <v>-0.26810062919115862</v>
      </c>
      <c r="K138" s="15"/>
      <c r="L138" s="33">
        <f>D138-H138</f>
        <v>110290.32000000005</v>
      </c>
      <c r="M138" s="15"/>
      <c r="N138" s="31">
        <f>IF(H138=0,0,L138/H138)</f>
        <v>-4.2571464965202557</v>
      </c>
      <c r="O138" s="25"/>
      <c r="P138" s="33">
        <f>+P134-P136</f>
        <v>284616.58000000007</v>
      </c>
      <c r="Q138" s="13"/>
      <c r="R138" s="31">
        <f>IF(P$12=0,0,P138/P$12)</f>
        <v>0.22685526789974697</v>
      </c>
      <c r="S138" s="13"/>
      <c r="T138" s="33">
        <f>+T134-T136</f>
        <v>99707.979999999952</v>
      </c>
      <c r="U138" s="13"/>
      <c r="V138" s="31">
        <f>IF(T$12=0,0,T138/T$12)</f>
        <v>0.1591265649810665</v>
      </c>
      <c r="W138" s="15"/>
      <c r="X138" s="33">
        <f>P138-T138</f>
        <v>184908.60000000012</v>
      </c>
      <c r="Y138" s="15"/>
      <c r="Z138" s="31">
        <f>IF(T138=0,0,X138/T138)</f>
        <v>1.8545015153250544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6" t="s">
        <v>293</v>
      </c>
      <c r="C141" s="26"/>
      <c r="D141" s="34">
        <f>SUM(D138:D140)</f>
        <v>84383.220000000016</v>
      </c>
      <c r="E141" s="13"/>
      <c r="F141" s="30">
        <f>IF(D$12=0,0,D141/D$12)</f>
        <v>0.18765308498305563</v>
      </c>
      <c r="G141" s="13"/>
      <c r="H141" s="34">
        <f>SUM(H138:H140)</f>
        <v>-25907.100000000031</v>
      </c>
      <c r="I141" s="13"/>
      <c r="J141" s="30">
        <f>IF(H$12=0,0,H141/H$12)</f>
        <v>-0.26810062919115862</v>
      </c>
      <c r="K141" s="15"/>
      <c r="L141" s="34">
        <f>+D141-H141</f>
        <v>110290.32000000005</v>
      </c>
      <c r="M141" s="15"/>
      <c r="N141" s="30">
        <f>IF(H141=0,0,L141/H141)</f>
        <v>-4.2571464965202557</v>
      </c>
      <c r="O141" s="25"/>
      <c r="P141" s="34">
        <f>SUM(P138:P140)</f>
        <v>284616.58000000007</v>
      </c>
      <c r="Q141" s="13"/>
      <c r="R141" s="30">
        <f>IF(P$12=0,0,P141/P$12)</f>
        <v>0.22685526789974697</v>
      </c>
      <c r="S141" s="13"/>
      <c r="T141" s="34">
        <f>SUM(T138:T140)</f>
        <v>99707.979999999952</v>
      </c>
      <c r="U141" s="13"/>
      <c r="V141" s="30">
        <f>IF(T$12=0,0,T141/T$12)</f>
        <v>0.1591265649810665</v>
      </c>
      <c r="W141" s="15"/>
      <c r="X141" s="34">
        <f>+P141-T141</f>
        <v>184908.60000000012</v>
      </c>
      <c r="Y141" s="15"/>
      <c r="Z141" s="30">
        <f>IF(T141=0,0,X141/T141)</f>
        <v>1.8545015153250544</v>
      </c>
    </row>
    <row r="142" spans="1:26" ht="15.75" thickTop="1" x14ac:dyDescent="0.25">
      <c r="A142" s="9"/>
      <c r="C142" s="9"/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  <row r="143" spans="1:26" x14ac:dyDescent="0.25">
      <c r="A143" s="9"/>
      <c r="B143" s="61">
        <v>44517.967041516204</v>
      </c>
      <c r="D143" s="18"/>
      <c r="E143" s="18"/>
      <c r="G143" s="18"/>
      <c r="H143" s="18"/>
      <c r="I143" s="18"/>
      <c r="J143" s="42"/>
      <c r="K143" s="18"/>
      <c r="L143" s="18"/>
      <c r="M143" s="18"/>
      <c r="P143" s="18"/>
      <c r="Q143" s="18"/>
      <c r="R143" s="42"/>
      <c r="S143" s="18"/>
      <c r="T143" s="18"/>
      <c r="U143" s="18"/>
      <c r="V143" s="42"/>
      <c r="W143" s="18"/>
      <c r="X143" s="18"/>
    </row>
    <row r="144" spans="1:26" x14ac:dyDescent="0.25">
      <c r="A144" s="9"/>
      <c r="B144" s="57" t="s">
        <v>56</v>
      </c>
      <c r="D144" s="18"/>
      <c r="E144" s="18"/>
      <c r="G144" s="18"/>
      <c r="H144" s="18"/>
      <c r="I144" s="18"/>
      <c r="J144" s="42"/>
      <c r="K144" s="18"/>
      <c r="L144" s="18"/>
      <c r="M144" s="18"/>
      <c r="P144" s="18"/>
      <c r="Q144" s="18"/>
      <c r="R144" s="42"/>
      <c r="S144" s="18"/>
      <c r="T144" s="18"/>
      <c r="U144" s="18"/>
      <c r="V144" s="42"/>
      <c r="W144" s="18"/>
      <c r="X144" s="18"/>
    </row>
    <row r="145" spans="1:24" x14ac:dyDescent="0.25">
      <c r="A145" s="9"/>
      <c r="B145" s="58"/>
      <c r="D145" s="18"/>
      <c r="E145" s="18"/>
      <c r="G145" s="18"/>
      <c r="H145" s="18"/>
      <c r="I145" s="18"/>
      <c r="J145" s="42"/>
      <c r="K145" s="18"/>
      <c r="L145" s="18"/>
      <c r="M145" s="18"/>
      <c r="P145" s="18"/>
      <c r="Q145" s="18"/>
      <c r="R145" s="42"/>
      <c r="S145" s="18"/>
      <c r="T145" s="18"/>
      <c r="U145" s="18"/>
      <c r="V145" s="42"/>
      <c r="W145" s="18"/>
      <c r="X145" s="18"/>
    </row>
    <row r="146" spans="1:24" x14ac:dyDescent="0.25">
      <c r="D146" s="18"/>
      <c r="E146" s="18"/>
      <c r="G146" s="18"/>
      <c r="H146" s="18"/>
      <c r="I146" s="18"/>
      <c r="J146" s="42"/>
      <c r="K146" s="18"/>
      <c r="L146" s="18"/>
      <c r="M146" s="18"/>
      <c r="P146" s="18"/>
      <c r="Q146" s="18"/>
      <c r="R146" s="42"/>
      <c r="S146" s="18"/>
      <c r="T146" s="18"/>
      <c r="U146" s="18"/>
      <c r="V146" s="42"/>
      <c r="W146" s="18"/>
      <c r="X146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28354.14</v>
      </c>
      <c r="E12" s="4"/>
      <c r="F12" s="12"/>
      <c r="G12" s="4"/>
      <c r="H12" s="4">
        <f>SUM(OSRRefH13x_0)</f>
        <v>18777.980000000003</v>
      </c>
      <c r="I12" s="4"/>
      <c r="J12" s="12"/>
      <c r="K12" s="4"/>
      <c r="L12" s="4">
        <f t="shared" ref="L12:L34" si="0">+D12-H12</f>
        <v>9576.1599999999962</v>
      </c>
      <c r="M12" s="4"/>
      <c r="N12" s="12">
        <f t="shared" ref="N12:N34" si="1">IF(H12=0,0,L12/H12)</f>
        <v>0.5099675257935089</v>
      </c>
      <c r="O12" s="10"/>
      <c r="P12" s="4">
        <f>SUM(OSRRefP13x_0)</f>
        <v>117828.7</v>
      </c>
      <c r="Q12" s="4"/>
      <c r="R12" s="12"/>
      <c r="S12" s="4"/>
      <c r="T12" s="4">
        <f>SUM(OSRRefT13x_0)</f>
        <v>88421.860000000015</v>
      </c>
      <c r="U12" s="4"/>
      <c r="V12" s="12"/>
      <c r="W12" s="4"/>
      <c r="X12" s="4">
        <f t="shared" ref="X12:X34" si="2">+P12-T12</f>
        <v>29406.839999999982</v>
      </c>
      <c r="Y12" s="4"/>
      <c r="Z12" s="12">
        <f t="shared" ref="Z12:Z34" si="3">IF(T12=0,0,X12/T12)</f>
        <v>0.33257432042257395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--29575.76</f>
        <v>29575.759999999998</v>
      </c>
      <c r="E13" s="2"/>
      <c r="F13" s="19"/>
      <c r="G13" s="2"/>
      <c r="H13" s="2">
        <f>-1856.95</f>
        <v>-1856.95</v>
      </c>
      <c r="I13" s="2"/>
      <c r="J13" s="19"/>
      <c r="K13" s="2"/>
      <c r="L13" s="2">
        <f t="shared" si="0"/>
        <v>31432.71</v>
      </c>
      <c r="M13" s="2"/>
      <c r="N13" s="19">
        <f t="shared" si="1"/>
        <v>-16.927063195024097</v>
      </c>
      <c r="O13" s="11"/>
      <c r="P13" s="2">
        <f>--121629.9</f>
        <v>121629.9</v>
      </c>
      <c r="Q13" s="2"/>
      <c r="R13" s="19"/>
      <c r="S13" s="2"/>
      <c r="T13" s="2">
        <f>-2502.95</f>
        <v>-2502.9499999999998</v>
      </c>
      <c r="U13" s="2"/>
      <c r="V13" s="19"/>
      <c r="W13" s="2"/>
      <c r="X13" s="2">
        <f t="shared" si="2"/>
        <v>124132.84999999999</v>
      </c>
      <c r="Y13" s="2"/>
      <c r="Z13" s="19">
        <f t="shared" si="3"/>
        <v>-49.594618350346593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1" si="4">0</f>
        <v>0</v>
      </c>
      <c r="E14" s="2"/>
      <c r="F14" s="19"/>
      <c r="G14" s="2"/>
      <c r="H14" s="2">
        <f>--20.8</f>
        <v>20.8</v>
      </c>
      <c r="I14" s="2"/>
      <c r="J14" s="19"/>
      <c r="K14" s="2"/>
      <c r="L14" s="2">
        <f t="shared" si="0"/>
        <v>-20.8</v>
      </c>
      <c r="M14" s="2"/>
      <c r="N14" s="19">
        <f t="shared" si="1"/>
        <v>-1</v>
      </c>
      <c r="O14" s="11"/>
      <c r="P14" s="2">
        <f t="shared" ref="P14:P21" si="5">0</f>
        <v>0</v>
      </c>
      <c r="Q14" s="2"/>
      <c r="R14" s="19"/>
      <c r="S14" s="2"/>
      <c r="T14" s="2">
        <f>--39.33</f>
        <v>39.33</v>
      </c>
      <c r="U14" s="2"/>
      <c r="V14" s="19"/>
      <c r="W14" s="2"/>
      <c r="X14" s="2">
        <f t="shared" si="2"/>
        <v>-39.33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--6.34</f>
        <v>6.34</v>
      </c>
      <c r="I15" s="2"/>
      <c r="J15" s="19"/>
      <c r="K15" s="2"/>
      <c r="L15" s="2">
        <f t="shared" si="0"/>
        <v>-6.34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--17.46</f>
        <v>17.46</v>
      </c>
      <c r="U15" s="2"/>
      <c r="V15" s="19"/>
      <c r="W15" s="2"/>
      <c r="X15" s="2">
        <f t="shared" si="2"/>
        <v>-17.46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 t="shared" si="4"/>
        <v>0</v>
      </c>
      <c r="E16" s="2"/>
      <c r="F16" s="19"/>
      <c r="G16" s="2"/>
      <c r="H16" s="2">
        <f>--17665.29</f>
        <v>17665.29</v>
      </c>
      <c r="I16" s="2"/>
      <c r="J16" s="19"/>
      <c r="K16" s="2"/>
      <c r="L16" s="2">
        <f t="shared" si="0"/>
        <v>-17665.29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--74700.19</f>
        <v>74700.19</v>
      </c>
      <c r="U16" s="2"/>
      <c r="V16" s="19"/>
      <c r="W16" s="2"/>
      <c r="X16" s="2">
        <f t="shared" si="2"/>
        <v>-74700.19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 t="shared" si="4"/>
        <v>0</v>
      </c>
      <c r="E17" s="2"/>
      <c r="F17" s="19"/>
      <c r="G17" s="2"/>
      <c r="H17" s="2">
        <f>--2498.25</f>
        <v>2498.25</v>
      </c>
      <c r="I17" s="2"/>
      <c r="J17" s="19"/>
      <c r="K17" s="2"/>
      <c r="L17" s="2">
        <f t="shared" si="0"/>
        <v>-2498.25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--12023.6</f>
        <v>12023.6</v>
      </c>
      <c r="U17" s="2"/>
      <c r="V17" s="19"/>
      <c r="W17" s="2"/>
      <c r="X17" s="2">
        <f t="shared" si="2"/>
        <v>-12023.6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 t="shared" si="4"/>
        <v>0</v>
      </c>
      <c r="E18" s="2"/>
      <c r="F18" s="19"/>
      <c r="G18" s="2"/>
      <c r="H18" s="2">
        <f>--305.46</f>
        <v>305.45999999999998</v>
      </c>
      <c r="I18" s="2"/>
      <c r="J18" s="19"/>
      <c r="K18" s="2"/>
      <c r="L18" s="2">
        <f t="shared" si="0"/>
        <v>-305.45999999999998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--4593.02</f>
        <v>4593.0200000000004</v>
      </c>
      <c r="U18" s="2"/>
      <c r="V18" s="19"/>
      <c r="W18" s="2"/>
      <c r="X18" s="2">
        <f t="shared" si="2"/>
        <v>-4593.0200000000004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 t="shared" si="4"/>
        <v>0</v>
      </c>
      <c r="E19" s="2"/>
      <c r="F19" s="19"/>
      <c r="G19" s="2"/>
      <c r="H19" s="2">
        <f>--189.81</f>
        <v>189.81</v>
      </c>
      <c r="I19" s="2"/>
      <c r="J19" s="19"/>
      <c r="K19" s="2"/>
      <c r="L19" s="2">
        <f t="shared" si="0"/>
        <v>-189.81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--817.22</f>
        <v>817.22</v>
      </c>
      <c r="U19" s="2"/>
      <c r="V19" s="19"/>
      <c r="W19" s="2"/>
      <c r="X19" s="2">
        <f t="shared" si="2"/>
        <v>-817.22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 t="shared" si="4"/>
        <v>0</v>
      </c>
      <c r="E20" s="2"/>
      <c r="F20" s="19"/>
      <c r="G20" s="2"/>
      <c r="H20" s="2">
        <f>--214.55</f>
        <v>214.55</v>
      </c>
      <c r="I20" s="2"/>
      <c r="J20" s="19"/>
      <c r="K20" s="2"/>
      <c r="L20" s="2">
        <f t="shared" si="0"/>
        <v>-214.55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--997.02</f>
        <v>997.02</v>
      </c>
      <c r="U20" s="2"/>
      <c r="V20" s="19"/>
      <c r="W20" s="2"/>
      <c r="X20" s="2">
        <f t="shared" si="2"/>
        <v>-997.02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 t="shared" si="4"/>
        <v>0</v>
      </c>
      <c r="E21" s="2"/>
      <c r="F21" s="19"/>
      <c r="G21" s="2"/>
      <c r="H21" s="2">
        <f>--236.62</f>
        <v>236.62</v>
      </c>
      <c r="I21" s="2"/>
      <c r="J21" s="19"/>
      <c r="K21" s="2"/>
      <c r="L21" s="2">
        <f t="shared" si="0"/>
        <v>-236.62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--271.52</f>
        <v>271.52</v>
      </c>
      <c r="U21" s="2"/>
      <c r="V21" s="19"/>
      <c r="W21" s="2"/>
      <c r="X21" s="2">
        <f t="shared" si="2"/>
        <v>-271.52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--108.3</f>
        <v>108.3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108.3</v>
      </c>
      <c r="M22" s="2"/>
      <c r="N22" s="19">
        <f t="shared" si="1"/>
        <v>0</v>
      </c>
      <c r="O22" s="11"/>
      <c r="P22" s="2">
        <f>--134.1</f>
        <v>134.1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134.1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 t="shared" ref="D23:D26" si="6">0</f>
        <v>0</v>
      </c>
      <c r="E23" s="2"/>
      <c r="F23" s="19"/>
      <c r="G23" s="2"/>
      <c r="H23" s="2">
        <f>--7.5</f>
        <v>7.5</v>
      </c>
      <c r="I23" s="2"/>
      <c r="J23" s="19"/>
      <c r="K23" s="2"/>
      <c r="L23" s="2">
        <f t="shared" si="0"/>
        <v>-7.5</v>
      </c>
      <c r="M23" s="2"/>
      <c r="N23" s="19">
        <f t="shared" si="1"/>
        <v>-1</v>
      </c>
      <c r="O23" s="11"/>
      <c r="P23" s="2">
        <f t="shared" ref="P23:P26" si="7">0</f>
        <v>0</v>
      </c>
      <c r="Q23" s="2"/>
      <c r="R23" s="19"/>
      <c r="S23" s="2"/>
      <c r="T23" s="2">
        <f>--30</f>
        <v>30</v>
      </c>
      <c r="U23" s="2"/>
      <c r="V23" s="19"/>
      <c r="W23" s="2"/>
      <c r="X23" s="2">
        <f t="shared" si="2"/>
        <v>-30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si="6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7"/>
        <v>0</v>
      </c>
      <c r="Q24" s="2"/>
      <c r="R24" s="19"/>
      <c r="S24" s="2"/>
      <c r="T24" s="2">
        <f>--9</f>
        <v>9</v>
      </c>
      <c r="U24" s="2"/>
      <c r="V24" s="19"/>
      <c r="W24" s="2"/>
      <c r="X24" s="2">
        <f t="shared" si="2"/>
        <v>-9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6"/>
        <v>0</v>
      </c>
      <c r="E25" s="2"/>
      <c r="F25" s="19"/>
      <c r="G25" s="2"/>
      <c r="H25" s="2">
        <f>--49.9</f>
        <v>49.9</v>
      </c>
      <c r="I25" s="2"/>
      <c r="J25" s="19"/>
      <c r="K25" s="2"/>
      <c r="L25" s="2">
        <f t="shared" si="0"/>
        <v>-49.9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--140.83</f>
        <v>140.83000000000001</v>
      </c>
      <c r="U25" s="2"/>
      <c r="V25" s="19"/>
      <c r="W25" s="2"/>
      <c r="X25" s="2">
        <f t="shared" si="2"/>
        <v>-140.83000000000001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6"/>
        <v>0</v>
      </c>
      <c r="E26" s="2"/>
      <c r="F26" s="19"/>
      <c r="G26" s="2"/>
      <c r="H26" s="2">
        <f t="shared" ref="H26:H27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7"/>
        <v>0</v>
      </c>
      <c r="Q26" s="2"/>
      <c r="R26" s="19"/>
      <c r="S26" s="2"/>
      <c r="T26" s="2">
        <f>--7</f>
        <v>7</v>
      </c>
      <c r="U26" s="2"/>
      <c r="V26" s="19"/>
      <c r="W26" s="2"/>
      <c r="X26" s="2">
        <f t="shared" si="2"/>
        <v>-7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"4200", " - ", "TAXABLE RETURNS")</f>
        <v xml:space="preserve">          4200 - TAXABLE RETURNS</v>
      </c>
      <c r="C27" s="11"/>
      <c r="D27" s="2">
        <f>-992.14</f>
        <v>-992.14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-992.14</v>
      </c>
      <c r="M27" s="2"/>
      <c r="N27" s="19">
        <f t="shared" si="1"/>
        <v>0</v>
      </c>
      <c r="O27" s="11"/>
      <c r="P27" s="2">
        <f>-3597.52</f>
        <v>-3597.52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-3597.52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ref="D28:D33" si="9">0</f>
        <v>0</v>
      </c>
      <c r="E28" s="2"/>
      <c r="F28" s="19"/>
      <c r="G28" s="2"/>
      <c r="H28" s="2">
        <f>-5.36</f>
        <v>-5.36</v>
      </c>
      <c r="I28" s="2"/>
      <c r="J28" s="19"/>
      <c r="K28" s="2"/>
      <c r="L28" s="2">
        <f t="shared" si="0"/>
        <v>5.36</v>
      </c>
      <c r="M28" s="2"/>
      <c r="N28" s="19">
        <f t="shared" si="1"/>
        <v>-1</v>
      </c>
      <c r="O28" s="11"/>
      <c r="P28" s="2">
        <f t="shared" ref="P28:P33" si="10">0</f>
        <v>0</v>
      </c>
      <c r="Q28" s="2"/>
      <c r="R28" s="19"/>
      <c r="S28" s="2"/>
      <c r="T28" s="2">
        <f>-27.85</f>
        <v>-27.85</v>
      </c>
      <c r="U28" s="2"/>
      <c r="V28" s="19"/>
      <c r="W28" s="2"/>
      <c r="X28" s="2">
        <f t="shared" si="2"/>
        <v>27.85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9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10"/>
        <v>0</v>
      </c>
      <c r="Q29" s="2"/>
      <c r="R29" s="19"/>
      <c r="S29" s="2"/>
      <c r="T29" s="2">
        <f>-30</f>
        <v>-30</v>
      </c>
      <c r="U29" s="2"/>
      <c r="V29" s="19"/>
      <c r="W29" s="2"/>
      <c r="X29" s="2">
        <f t="shared" si="2"/>
        <v>30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 t="shared" si="9"/>
        <v>0</v>
      </c>
      <c r="E30" s="2"/>
      <c r="F30" s="19"/>
      <c r="G30" s="2"/>
      <c r="H30" s="2">
        <f>-517.35</f>
        <v>-517.35</v>
      </c>
      <c r="I30" s="2"/>
      <c r="J30" s="19"/>
      <c r="K30" s="2"/>
      <c r="L30" s="2">
        <f t="shared" si="0"/>
        <v>517.35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-2421.23</f>
        <v>-2421.23</v>
      </c>
      <c r="U30" s="2"/>
      <c r="V30" s="19"/>
      <c r="W30" s="2"/>
      <c r="X30" s="2">
        <f t="shared" si="2"/>
        <v>2421.23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 t="shared" si="9"/>
        <v>0</v>
      </c>
      <c r="E31" s="2"/>
      <c r="F31" s="19"/>
      <c r="G31" s="2"/>
      <c r="H31" s="2">
        <f>-28.9</f>
        <v>-28.9</v>
      </c>
      <c r="I31" s="2"/>
      <c r="J31" s="19"/>
      <c r="K31" s="2"/>
      <c r="L31" s="2">
        <f t="shared" si="0"/>
        <v>28.9</v>
      </c>
      <c r="M31" s="2"/>
      <c r="N31" s="19">
        <f t="shared" si="1"/>
        <v>-1</v>
      </c>
      <c r="O31" s="11"/>
      <c r="P31" s="2">
        <f t="shared" si="10"/>
        <v>0</v>
      </c>
      <c r="Q31" s="2"/>
      <c r="R31" s="19"/>
      <c r="S31" s="2"/>
      <c r="T31" s="2">
        <f>-123.5</f>
        <v>-123.5</v>
      </c>
      <c r="U31" s="2"/>
      <c r="V31" s="19"/>
      <c r="W31" s="2"/>
      <c r="X31" s="2">
        <f t="shared" si="2"/>
        <v>123.5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 t="shared" si="9"/>
        <v>0</v>
      </c>
      <c r="E32" s="2"/>
      <c r="F32" s="19"/>
      <c r="G32" s="2"/>
      <c r="H32" s="2">
        <f>-7.98</f>
        <v>-7.98</v>
      </c>
      <c r="I32" s="2"/>
      <c r="J32" s="19"/>
      <c r="K32" s="2"/>
      <c r="L32" s="2">
        <f t="shared" si="0"/>
        <v>7.98</v>
      </c>
      <c r="M32" s="2"/>
      <c r="N32" s="19">
        <f t="shared" si="1"/>
        <v>-1</v>
      </c>
      <c r="O32" s="11"/>
      <c r="P32" s="2">
        <f t="shared" si="10"/>
        <v>0</v>
      </c>
      <c r="Q32" s="2"/>
      <c r="R32" s="19"/>
      <c r="S32" s="2"/>
      <c r="T32" s="2">
        <f>-111.8</f>
        <v>-111.8</v>
      </c>
      <c r="U32" s="2"/>
      <c r="V32" s="19"/>
      <c r="W32" s="2"/>
      <c r="X32" s="2">
        <f t="shared" si="2"/>
        <v>111.8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9"/>
        <v>0</v>
      </c>
      <c r="E33" s="2"/>
      <c r="F33" s="19"/>
      <c r="G33" s="2"/>
      <c r="H33" s="2">
        <f t="shared" ref="H33:H34" si="11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10"/>
        <v>0</v>
      </c>
      <c r="Q33" s="2"/>
      <c r="R33" s="19"/>
      <c r="S33" s="2"/>
      <c r="T33" s="2">
        <f>-7</f>
        <v>-7</v>
      </c>
      <c r="U33" s="2"/>
      <c r="V33" s="19"/>
      <c r="W33" s="2"/>
      <c r="X33" s="2">
        <f t="shared" si="2"/>
        <v>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"4500", " - ", "SALES DISCOUNT")</f>
        <v xml:space="preserve">          4500 - SALES DISCOUNT</v>
      </c>
      <c r="C34" s="11"/>
      <c r="D34" s="2">
        <f>-337.78</f>
        <v>-337.78</v>
      </c>
      <c r="E34" s="2"/>
      <c r="F34" s="19"/>
      <c r="G34" s="2"/>
      <c r="H34" s="2">
        <f t="shared" si="11"/>
        <v>0</v>
      </c>
      <c r="I34" s="2"/>
      <c r="J34" s="19"/>
      <c r="K34" s="2"/>
      <c r="L34" s="2">
        <f t="shared" si="0"/>
        <v>-337.78</v>
      </c>
      <c r="M34" s="2"/>
      <c r="N34" s="19">
        <f t="shared" si="1"/>
        <v>0</v>
      </c>
      <c r="O34" s="11"/>
      <c r="P34" s="2">
        <f>-337.78</f>
        <v>-337.78</v>
      </c>
      <c r="Q34" s="2"/>
      <c r="R34" s="19"/>
      <c r="S34" s="2"/>
      <c r="T34" s="2">
        <f>0</f>
        <v>0</v>
      </c>
      <c r="U34" s="2"/>
      <c r="V34" s="19"/>
      <c r="W34" s="2"/>
      <c r="X34" s="2">
        <f t="shared" si="2"/>
        <v>-337.78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5" t="s">
        <v>256</v>
      </c>
      <c r="C36" s="10"/>
      <c r="D36" s="4">
        <f>SUM(OSRRefD16x_0)</f>
        <v>12923.67</v>
      </c>
      <c r="E36" s="4"/>
      <c r="F36" s="12">
        <f t="shared" ref="F36:F43" si="12">IF(D$12=0,0,D36/D$12)</f>
        <v>0.4557948151486873</v>
      </c>
      <c r="G36" s="4"/>
      <c r="H36" s="4">
        <f>SUM(OSRRefH16x_0)</f>
        <v>7350</v>
      </c>
      <c r="I36" s="4"/>
      <c r="J36" s="12">
        <f t="shared" ref="J36:J43" si="13">IF(H$12=0,0,H36/H$12)</f>
        <v>0.39141590309500801</v>
      </c>
      <c r="K36" s="4"/>
      <c r="L36" s="4">
        <f t="shared" ref="L36:L43" si="14">+D36-H36</f>
        <v>5573.67</v>
      </c>
      <c r="M36" s="4"/>
      <c r="N36" s="12">
        <f t="shared" ref="N36:N43" si="15">IF(H36=0,0,L36/H36)</f>
        <v>0.75832244897959189</v>
      </c>
      <c r="O36" s="10"/>
      <c r="P36" s="4">
        <f>SUM(OSRRefP16x_0)</f>
        <v>56489.88</v>
      </c>
      <c r="Q36" s="4"/>
      <c r="R36" s="12">
        <f t="shared" ref="R36:R43" si="16">IF(P$12=0,0,P36/P$12)</f>
        <v>0.47942377366465044</v>
      </c>
      <c r="S36" s="4"/>
      <c r="T36" s="4">
        <f>SUM(OSRRefT16x_0)</f>
        <v>35356</v>
      </c>
      <c r="U36" s="4"/>
      <c r="V36" s="12">
        <f t="shared" ref="V36:V43" si="17">IF(T$12=0,0,T36/T$12)</f>
        <v>0.39985587274459045</v>
      </c>
      <c r="W36" s="4"/>
      <c r="X36" s="4">
        <f t="shared" ref="X36:X43" si="18">+P36-T36</f>
        <v>21133.879999999997</v>
      </c>
      <c r="Y36" s="4"/>
      <c r="Z36" s="12">
        <f t="shared" ref="Z36:Z43" si="19">IF(T36=0,0,X36/T36)</f>
        <v>0.59774522004751662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>
        <v>507.6</v>
      </c>
      <c r="E37" s="2"/>
      <c r="F37" s="19">
        <f t="shared" si="12"/>
        <v>1.7902147622886819E-2</v>
      </c>
      <c r="G37" s="2"/>
      <c r="H37" s="2"/>
      <c r="I37" s="2"/>
      <c r="J37" s="19">
        <f t="shared" si="13"/>
        <v>0</v>
      </c>
      <c r="K37" s="2"/>
      <c r="L37" s="2">
        <f t="shared" si="14"/>
        <v>507.6</v>
      </c>
      <c r="M37" s="2"/>
      <c r="N37" s="19">
        <f t="shared" si="15"/>
        <v>0</v>
      </c>
      <c r="O37" s="11"/>
      <c r="P37" s="2">
        <v>1173.7</v>
      </c>
      <c r="Q37" s="2"/>
      <c r="R37" s="19">
        <f t="shared" si="16"/>
        <v>9.9610706050393509E-3</v>
      </c>
      <c r="S37" s="2"/>
      <c r="T37" s="2"/>
      <c r="U37" s="2"/>
      <c r="V37" s="19">
        <f t="shared" si="17"/>
        <v>0</v>
      </c>
      <c r="W37" s="2"/>
      <c r="X37" s="2">
        <f t="shared" si="18"/>
        <v>1173.7</v>
      </c>
      <c r="Y37" s="2"/>
      <c r="Z37" s="19">
        <f t="shared" si="19"/>
        <v>0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/>
      <c r="E38" s="2"/>
      <c r="F38" s="19">
        <f t="shared" si="12"/>
        <v>0</v>
      </c>
      <c r="G38" s="2"/>
      <c r="H38" s="2"/>
      <c r="I38" s="2"/>
      <c r="J38" s="19">
        <f t="shared" si="13"/>
        <v>0</v>
      </c>
      <c r="K38" s="2"/>
      <c r="L38" s="2">
        <f t="shared" si="14"/>
        <v>0</v>
      </c>
      <c r="M38" s="2"/>
      <c r="N38" s="19">
        <f t="shared" si="15"/>
        <v>0</v>
      </c>
      <c r="O38" s="11"/>
      <c r="P38" s="2"/>
      <c r="Q38" s="2"/>
      <c r="R38" s="19">
        <f t="shared" si="16"/>
        <v>0</v>
      </c>
      <c r="S38" s="2"/>
      <c r="T38" s="2">
        <v>0</v>
      </c>
      <c r="U38" s="2"/>
      <c r="V38" s="19">
        <f t="shared" si="17"/>
        <v>0</v>
      </c>
      <c r="W38" s="2"/>
      <c r="X38" s="2">
        <f t="shared" si="18"/>
        <v>0</v>
      </c>
      <c r="Y38" s="2"/>
      <c r="Z38" s="19">
        <f t="shared" si="19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/>
      <c r="E39" s="2"/>
      <c r="F39" s="19">
        <f t="shared" si="12"/>
        <v>0</v>
      </c>
      <c r="G39" s="2"/>
      <c r="H39" s="2">
        <v>207.6</v>
      </c>
      <c r="I39" s="2"/>
      <c r="J39" s="19">
        <f t="shared" si="13"/>
        <v>1.1055502242520226E-2</v>
      </c>
      <c r="K39" s="2"/>
      <c r="L39" s="2">
        <f t="shared" si="14"/>
        <v>-207.6</v>
      </c>
      <c r="M39" s="2"/>
      <c r="N39" s="19">
        <f t="shared" si="15"/>
        <v>-1</v>
      </c>
      <c r="O39" s="11"/>
      <c r="P39" s="2"/>
      <c r="Q39" s="2"/>
      <c r="R39" s="19">
        <f t="shared" si="16"/>
        <v>0</v>
      </c>
      <c r="S39" s="2"/>
      <c r="T39" s="2">
        <v>207.6</v>
      </c>
      <c r="U39" s="2"/>
      <c r="V39" s="19">
        <f t="shared" si="17"/>
        <v>2.347835704881123E-3</v>
      </c>
      <c r="W39" s="2"/>
      <c r="X39" s="2">
        <f t="shared" si="18"/>
        <v>-207.6</v>
      </c>
      <c r="Y39" s="2"/>
      <c r="Z39" s="19">
        <f t="shared" si="19"/>
        <v>-1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/>
      <c r="E40" s="2"/>
      <c r="F40" s="19">
        <f t="shared" si="12"/>
        <v>0</v>
      </c>
      <c r="G40" s="2"/>
      <c r="H40" s="2">
        <v>7946.04</v>
      </c>
      <c r="I40" s="2"/>
      <c r="J40" s="19">
        <f t="shared" si="13"/>
        <v>0.42315733641211667</v>
      </c>
      <c r="K40" s="2"/>
      <c r="L40" s="2">
        <f t="shared" si="14"/>
        <v>-7946.04</v>
      </c>
      <c r="M40" s="2"/>
      <c r="N40" s="19">
        <f t="shared" si="15"/>
        <v>-1</v>
      </c>
      <c r="O40" s="11"/>
      <c r="P40" s="2"/>
      <c r="Q40" s="2"/>
      <c r="R40" s="19">
        <f t="shared" si="16"/>
        <v>0</v>
      </c>
      <c r="S40" s="2"/>
      <c r="T40" s="2">
        <v>7946.04</v>
      </c>
      <c r="U40" s="2"/>
      <c r="V40" s="19">
        <f t="shared" si="17"/>
        <v>8.9865108017406534E-2</v>
      </c>
      <c r="W40" s="2"/>
      <c r="X40" s="2">
        <f t="shared" si="18"/>
        <v>-7946.04</v>
      </c>
      <c r="Y40" s="2"/>
      <c r="Z40" s="19">
        <f t="shared" si="19"/>
        <v>-1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-559.67999999999995</v>
      </c>
      <c r="E41" s="2"/>
      <c r="F41" s="19">
        <f t="shared" si="12"/>
        <v>-1.97389164333674E-2</v>
      </c>
      <c r="G41" s="2"/>
      <c r="H41" s="2">
        <v>-8153.64</v>
      </c>
      <c r="I41" s="2"/>
      <c r="J41" s="19">
        <f t="shared" si="13"/>
        <v>-0.43421283865463689</v>
      </c>
      <c r="K41" s="2"/>
      <c r="L41" s="2">
        <f t="shared" si="14"/>
        <v>7593.96</v>
      </c>
      <c r="M41" s="2"/>
      <c r="N41" s="19">
        <f t="shared" si="15"/>
        <v>-0.93135826452970694</v>
      </c>
      <c r="O41" s="11"/>
      <c r="P41" s="2">
        <v>-1225.78</v>
      </c>
      <c r="Q41" s="2"/>
      <c r="R41" s="19">
        <f t="shared" si="16"/>
        <v>-1.0403068182879043E-2</v>
      </c>
      <c r="S41" s="2"/>
      <c r="T41" s="2">
        <v>-8153.64</v>
      </c>
      <c r="U41" s="2"/>
      <c r="V41" s="19">
        <f t="shared" si="17"/>
        <v>-9.2212943722287666E-2</v>
      </c>
      <c r="W41" s="2"/>
      <c r="X41" s="2">
        <f t="shared" si="18"/>
        <v>6927.8600000000006</v>
      </c>
      <c r="Y41" s="2"/>
      <c r="Z41" s="19">
        <f t="shared" si="19"/>
        <v>-0.84966468963554931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12923.67</v>
      </c>
      <c r="E42" s="2"/>
      <c r="F42" s="19">
        <f t="shared" si="12"/>
        <v>0.4557948151486873</v>
      </c>
      <c r="G42" s="2"/>
      <c r="H42" s="2">
        <v>7350</v>
      </c>
      <c r="I42" s="2"/>
      <c r="J42" s="19">
        <f t="shared" si="13"/>
        <v>0.39141590309500801</v>
      </c>
      <c r="K42" s="2"/>
      <c r="L42" s="2">
        <f t="shared" si="14"/>
        <v>5573.67</v>
      </c>
      <c r="M42" s="2"/>
      <c r="N42" s="19">
        <f t="shared" si="15"/>
        <v>0.75832244897959189</v>
      </c>
      <c r="O42" s="11"/>
      <c r="P42" s="2">
        <v>56489.88</v>
      </c>
      <c r="Q42" s="2"/>
      <c r="R42" s="19">
        <f t="shared" si="16"/>
        <v>0.47942377366465044</v>
      </c>
      <c r="S42" s="2"/>
      <c r="T42" s="2">
        <v>35356</v>
      </c>
      <c r="U42" s="2"/>
      <c r="V42" s="19">
        <f t="shared" si="17"/>
        <v>0.39985587274459045</v>
      </c>
      <c r="W42" s="2"/>
      <c r="X42" s="2">
        <f t="shared" si="18"/>
        <v>21133.879999999997</v>
      </c>
      <c r="Y42" s="2"/>
      <c r="Z42" s="19">
        <f t="shared" si="19"/>
        <v>0.59774522004751662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>
        <v>52.08</v>
      </c>
      <c r="E43" s="2"/>
      <c r="F43" s="19">
        <f t="shared" si="12"/>
        <v>1.836768810480586E-3</v>
      </c>
      <c r="G43" s="2"/>
      <c r="H43" s="2"/>
      <c r="I43" s="2"/>
      <c r="J43" s="19">
        <f t="shared" si="13"/>
        <v>0</v>
      </c>
      <c r="K43" s="2"/>
      <c r="L43" s="2">
        <f t="shared" si="14"/>
        <v>52.08</v>
      </c>
      <c r="M43" s="2"/>
      <c r="N43" s="19">
        <f t="shared" si="15"/>
        <v>0</v>
      </c>
      <c r="O43" s="11"/>
      <c r="P43" s="2">
        <v>52.08</v>
      </c>
      <c r="Q43" s="2"/>
      <c r="R43" s="19">
        <f t="shared" si="16"/>
        <v>4.419975778396944E-4</v>
      </c>
      <c r="S43" s="2"/>
      <c r="T43" s="2"/>
      <c r="U43" s="2"/>
      <c r="V43" s="19">
        <f t="shared" si="17"/>
        <v>0</v>
      </c>
      <c r="W43" s="2"/>
      <c r="X43" s="2">
        <f t="shared" si="18"/>
        <v>52.08</v>
      </c>
      <c r="Y43" s="2"/>
      <c r="Z43" s="19">
        <f t="shared" si="19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107</v>
      </c>
      <c r="C45" s="26"/>
      <c r="D45" s="22">
        <f>D12-D36</f>
        <v>15430.47</v>
      </c>
      <c r="E45" s="13"/>
      <c r="F45" s="20">
        <f>IF(D$12=0,0,D45/D$12)</f>
        <v>0.54420518485131275</v>
      </c>
      <c r="G45" s="13"/>
      <c r="H45" s="22">
        <f>H12-H36</f>
        <v>11427.980000000003</v>
      </c>
      <c r="I45" s="13"/>
      <c r="J45" s="20">
        <f>IF(H$12=0,0,H45/H$12)</f>
        <v>0.60858409690499193</v>
      </c>
      <c r="K45" s="15"/>
      <c r="L45" s="22">
        <f>+D45-H45</f>
        <v>4002.4899999999961</v>
      </c>
      <c r="M45" s="15"/>
      <c r="N45" s="20">
        <f>IF(H45=0,0,L45/H45)</f>
        <v>0.35023599971298469</v>
      </c>
      <c r="O45" s="25"/>
      <c r="P45" s="22">
        <f>P12-P36</f>
        <v>61338.82</v>
      </c>
      <c r="Q45" s="13"/>
      <c r="R45" s="20">
        <f>IF(P$12=0,0,P45/P$12)</f>
        <v>0.5205762263353495</v>
      </c>
      <c r="S45" s="13"/>
      <c r="T45" s="22">
        <f>T12-T36</f>
        <v>53065.860000000015</v>
      </c>
      <c r="U45" s="13"/>
      <c r="V45" s="20">
        <f>IF(T$12=0,0,T45/T$12)</f>
        <v>0.60014412725540955</v>
      </c>
      <c r="W45" s="15"/>
      <c r="X45" s="22">
        <f>+P45-T45</f>
        <v>8272.9599999999846</v>
      </c>
      <c r="Y45" s="15"/>
      <c r="Z45" s="20">
        <f>IF(T45=0,0,X45/T45)</f>
        <v>0.15589985727169939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294</v>
      </c>
      <c r="C47" s="10"/>
      <c r="D47" s="21">
        <f>SUM(OSRRefD22x_0)</f>
        <v>17942.8</v>
      </c>
      <c r="E47" s="21"/>
      <c r="F47" s="36">
        <f t="shared" ref="F47:F56" si="20">IF(D$12=0,0,D47/D$12)</f>
        <v>0.63281058780128752</v>
      </c>
      <c r="G47" s="21"/>
      <c r="H47" s="21">
        <f>SUM(OSRRefH22x_0)</f>
        <v>22743.91</v>
      </c>
      <c r="I47" s="21"/>
      <c r="J47" s="36">
        <f t="shared" ref="J47:J56" si="21">IF(H$12=0,0,H47/H$12)</f>
        <v>1.2112010983076984</v>
      </c>
      <c r="K47" s="4"/>
      <c r="L47" s="21">
        <f t="shared" ref="L47:L56" si="22">+D47-H47</f>
        <v>-4801.1100000000006</v>
      </c>
      <c r="M47" s="4"/>
      <c r="N47" s="36">
        <f t="shared" ref="N47:N56" si="23">IF(H47=0,0,L47/H47)</f>
        <v>-0.21109431052092628</v>
      </c>
      <c r="O47" s="10"/>
      <c r="P47" s="21">
        <f>SUM(OSRRefP22x_0)</f>
        <v>65947.98</v>
      </c>
      <c r="Q47" s="21"/>
      <c r="R47" s="36">
        <f t="shared" ref="R47:R56" si="24">IF(P$12=0,0,P47/P$12)</f>
        <v>0.55969369092589494</v>
      </c>
      <c r="S47" s="21"/>
      <c r="T47" s="21">
        <f>SUM(OSRRefT22x_0)</f>
        <v>85841.960000000021</v>
      </c>
      <c r="U47" s="21"/>
      <c r="V47" s="36">
        <f t="shared" ref="V47:V56" si="25">IF(T$12=0,0,T47/T$12)</f>
        <v>0.97082282593919655</v>
      </c>
      <c r="W47" s="4"/>
      <c r="X47" s="21">
        <f t="shared" ref="X47:X56" si="26">+P47-T47</f>
        <v>-19893.980000000025</v>
      </c>
      <c r="Y47" s="4"/>
      <c r="Z47" s="36">
        <f t="shared" ref="Z47:Z56" si="27">IF(T47=0,0,X47/T47)</f>
        <v>-0.23175123214800805</v>
      </c>
    </row>
    <row r="48" spans="1:26" s="28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1409.69</v>
      </c>
      <c r="E48" s="1"/>
      <c r="F48" s="5">
        <f t="shared" si="20"/>
        <v>4.9717254693670838E-2</v>
      </c>
      <c r="G48" s="1"/>
      <c r="H48" s="1">
        <f>SUM(OSRRefH22_0x_0)</f>
        <v>5855.8200000000006</v>
      </c>
      <c r="I48" s="1"/>
      <c r="J48" s="5">
        <f t="shared" si="21"/>
        <v>0.31184504403562041</v>
      </c>
      <c r="K48" s="1"/>
      <c r="L48" s="1">
        <f t="shared" si="22"/>
        <v>-4446.130000000001</v>
      </c>
      <c r="M48" s="1"/>
      <c r="N48" s="5">
        <f t="shared" si="23"/>
        <v>-0.75926684904932196</v>
      </c>
      <c r="O48" s="14"/>
      <c r="P48" s="1">
        <f>SUM(OSRRefP22_0x_0)</f>
        <v>5218.7800000000007</v>
      </c>
      <c r="Q48" s="1"/>
      <c r="R48" s="5">
        <f t="shared" si="24"/>
        <v>4.4291246529920135E-2</v>
      </c>
      <c r="S48" s="1"/>
      <c r="T48" s="1">
        <f>SUM(OSRRefT22_0x_0)</f>
        <v>20833.32</v>
      </c>
      <c r="U48" s="1"/>
      <c r="V48" s="5">
        <f t="shared" si="25"/>
        <v>0.23561277720237955</v>
      </c>
      <c r="W48" s="1"/>
      <c r="X48" s="1">
        <f t="shared" si="26"/>
        <v>-15614.539999999999</v>
      </c>
      <c r="Y48" s="1"/>
      <c r="Z48" s="5">
        <f t="shared" si="27"/>
        <v>-0.7494983996789758</v>
      </c>
    </row>
    <row r="49" spans="1:26" s="24" customFormat="1" hidden="1" outlineLevel="2" x14ac:dyDescent="0.25">
      <c r="A49" s="29"/>
      <c r="B49" s="11" t="str">
        <f>CONCATENATE("          ", "6111", " - ", "F.I.C.A.")</f>
        <v xml:space="preserve">          6111 - F.I.C.A.</v>
      </c>
      <c r="C49" s="11"/>
      <c r="D49" s="6">
        <v>313.55</v>
      </c>
      <c r="E49" s="2"/>
      <c r="F49" s="7">
        <f t="shared" si="20"/>
        <v>1.1058349856493621E-2</v>
      </c>
      <c r="G49" s="2"/>
      <c r="H49" s="6">
        <v>998.37</v>
      </c>
      <c r="I49" s="2"/>
      <c r="J49" s="7">
        <f t="shared" si="21"/>
        <v>5.3167060567750092E-2</v>
      </c>
      <c r="K49" s="2"/>
      <c r="L49" s="6">
        <f t="shared" si="22"/>
        <v>-684.81999999999994</v>
      </c>
      <c r="M49" s="2"/>
      <c r="N49" s="7">
        <f t="shared" si="23"/>
        <v>-0.68593807906888216</v>
      </c>
      <c r="O49" s="11"/>
      <c r="P49" s="6">
        <v>1259.99</v>
      </c>
      <c r="Q49" s="2"/>
      <c r="R49" s="7">
        <f t="shared" si="24"/>
        <v>1.069340491747766E-2</v>
      </c>
      <c r="S49" s="2"/>
      <c r="T49" s="6">
        <v>3208.38</v>
      </c>
      <c r="U49" s="2"/>
      <c r="V49" s="7">
        <f t="shared" si="25"/>
        <v>3.6284918684135345E-2</v>
      </c>
      <c r="W49" s="2"/>
      <c r="X49" s="6">
        <f t="shared" si="26"/>
        <v>-1948.39</v>
      </c>
      <c r="Y49" s="2"/>
      <c r="Z49" s="7">
        <f t="shared" si="27"/>
        <v>-0.60728155642411441</v>
      </c>
    </row>
    <row r="50" spans="1:26" s="24" customFormat="1" hidden="1" outlineLevel="2" x14ac:dyDescent="0.25">
      <c r="A50" s="29"/>
      <c r="B50" s="11" t="str">
        <f>CONCATENATE("          ", "6112", " - ", "COMPENSATION INSURANCE")</f>
        <v xml:space="preserve">          6112 - COMPENSATION INSURANCE</v>
      </c>
      <c r="C50" s="11"/>
      <c r="D50" s="6">
        <v>46.33</v>
      </c>
      <c r="E50" s="2"/>
      <c r="F50" s="7">
        <f t="shared" si="20"/>
        <v>1.6339765550991848E-3</v>
      </c>
      <c r="G50" s="2"/>
      <c r="H50" s="6">
        <v>215.57</v>
      </c>
      <c r="I50" s="2"/>
      <c r="J50" s="7">
        <f t="shared" si="21"/>
        <v>1.1479935541522568E-2</v>
      </c>
      <c r="K50" s="2"/>
      <c r="L50" s="6">
        <f t="shared" si="22"/>
        <v>-169.24</v>
      </c>
      <c r="M50" s="2"/>
      <c r="N50" s="7">
        <f t="shared" si="23"/>
        <v>-0.78508141207032522</v>
      </c>
      <c r="O50" s="11"/>
      <c r="P50" s="6">
        <v>204.04</v>
      </c>
      <c r="Q50" s="2"/>
      <c r="R50" s="7">
        <f t="shared" si="24"/>
        <v>1.7316663936714908E-3</v>
      </c>
      <c r="S50" s="2"/>
      <c r="T50" s="6">
        <v>1073.5899999999999</v>
      </c>
      <c r="U50" s="2"/>
      <c r="V50" s="7">
        <f t="shared" si="25"/>
        <v>1.214168080155744E-2</v>
      </c>
      <c r="W50" s="2"/>
      <c r="X50" s="6">
        <f t="shared" si="26"/>
        <v>-869.55</v>
      </c>
      <c r="Y50" s="2"/>
      <c r="Z50" s="7">
        <f t="shared" si="27"/>
        <v>-0.80994606879721309</v>
      </c>
    </row>
    <row r="51" spans="1:26" s="24" customFormat="1" hidden="1" outlineLevel="2" x14ac:dyDescent="0.25">
      <c r="A51" s="29"/>
      <c r="B51" s="11" t="str">
        <f>CONCATENATE("          ", "6113", " - ", "GROUP INSURANCE")</f>
        <v xml:space="preserve">          6113 - GROUP INSURANCE</v>
      </c>
      <c r="C51" s="11"/>
      <c r="D51" s="6">
        <v>526.70000000000005</v>
      </c>
      <c r="E51" s="2"/>
      <c r="F51" s="7">
        <f t="shared" si="20"/>
        <v>1.8575770592936341E-2</v>
      </c>
      <c r="G51" s="2"/>
      <c r="H51" s="6">
        <v>2714.98</v>
      </c>
      <c r="I51" s="2"/>
      <c r="J51" s="7">
        <f t="shared" si="21"/>
        <v>0.14458317667821563</v>
      </c>
      <c r="K51" s="2"/>
      <c r="L51" s="6">
        <f t="shared" si="22"/>
        <v>-2188.2799999999997</v>
      </c>
      <c r="M51" s="2"/>
      <c r="N51" s="7">
        <f t="shared" si="23"/>
        <v>-0.80600225416025151</v>
      </c>
      <c r="O51" s="11"/>
      <c r="P51" s="6">
        <v>2118.0500000000002</v>
      </c>
      <c r="Q51" s="2"/>
      <c r="R51" s="7">
        <f t="shared" si="24"/>
        <v>1.7975671462046174E-2</v>
      </c>
      <c r="S51" s="2"/>
      <c r="T51" s="6">
        <v>10157.41</v>
      </c>
      <c r="U51" s="2"/>
      <c r="V51" s="7">
        <f t="shared" si="25"/>
        <v>0.11487442132522431</v>
      </c>
      <c r="W51" s="2"/>
      <c r="X51" s="6">
        <f t="shared" si="26"/>
        <v>-8039.36</v>
      </c>
      <c r="Y51" s="2"/>
      <c r="Z51" s="7">
        <f t="shared" si="27"/>
        <v>-0.7914773549556432</v>
      </c>
    </row>
    <row r="52" spans="1:26" s="24" customFormat="1" hidden="1" outlineLevel="2" x14ac:dyDescent="0.25">
      <c r="A52" s="29"/>
      <c r="B52" s="11" t="str">
        <f>CONCATENATE("          ", "6114", " - ", "STATE UNEMPLOYMENT INSURANCE")</f>
        <v xml:space="preserve">          6114 - STATE UNEMPLOYMENT INSURANCE</v>
      </c>
      <c r="C52" s="11"/>
      <c r="D52" s="6">
        <v>8.14</v>
      </c>
      <c r="E52" s="2"/>
      <c r="F52" s="7">
        <f t="shared" si="20"/>
        <v>2.870832971834096E-4</v>
      </c>
      <c r="G52" s="2"/>
      <c r="H52" s="6">
        <v>30.3</v>
      </c>
      <c r="I52" s="2"/>
      <c r="J52" s="7">
        <f t="shared" si="21"/>
        <v>1.6135920903100332E-3</v>
      </c>
      <c r="K52" s="2"/>
      <c r="L52" s="6">
        <f t="shared" si="22"/>
        <v>-22.16</v>
      </c>
      <c r="M52" s="2"/>
      <c r="N52" s="7">
        <f t="shared" si="23"/>
        <v>-0.7313531353135313</v>
      </c>
      <c r="O52" s="11"/>
      <c r="P52" s="6">
        <v>35.840000000000003</v>
      </c>
      <c r="Q52" s="2"/>
      <c r="R52" s="7">
        <f t="shared" si="24"/>
        <v>3.0417037614774672E-4</v>
      </c>
      <c r="S52" s="2"/>
      <c r="T52" s="6">
        <v>124.54</v>
      </c>
      <c r="U52" s="2"/>
      <c r="V52" s="7">
        <f t="shared" si="25"/>
        <v>1.408475234517799E-3</v>
      </c>
      <c r="W52" s="2"/>
      <c r="X52" s="6">
        <f t="shared" si="26"/>
        <v>-88.7</v>
      </c>
      <c r="Y52" s="2"/>
      <c r="Z52" s="7">
        <f t="shared" si="27"/>
        <v>-0.71222097318130717</v>
      </c>
    </row>
    <row r="53" spans="1:26" s="24" customFormat="1" hidden="1" outlineLevel="2" x14ac:dyDescent="0.25">
      <c r="A53" s="29"/>
      <c r="B53" s="11" t="str">
        <f>CONCATENATE("          ", "6115", " - ", "P.E.R.S.")</f>
        <v xml:space="preserve">          6115 - P.E.R.S.</v>
      </c>
      <c r="C53" s="11"/>
      <c r="D53" s="6">
        <v>133.34</v>
      </c>
      <c r="E53" s="2"/>
      <c r="F53" s="7">
        <f t="shared" si="20"/>
        <v>4.7026642317488732E-3</v>
      </c>
      <c r="G53" s="2"/>
      <c r="H53" s="6">
        <v>253.48</v>
      </c>
      <c r="I53" s="2"/>
      <c r="J53" s="7">
        <f t="shared" si="21"/>
        <v>1.3498789539662943E-2</v>
      </c>
      <c r="K53" s="2"/>
      <c r="L53" s="6">
        <f t="shared" si="22"/>
        <v>-120.13999999999999</v>
      </c>
      <c r="M53" s="2"/>
      <c r="N53" s="7">
        <f t="shared" si="23"/>
        <v>-0.47396244279627581</v>
      </c>
      <c r="O53" s="11"/>
      <c r="P53" s="6">
        <v>400.01</v>
      </c>
      <c r="Q53" s="2"/>
      <c r="R53" s="7">
        <f t="shared" si="24"/>
        <v>3.3948435313298033E-3</v>
      </c>
      <c r="S53" s="2"/>
      <c r="T53" s="6">
        <v>1520.9</v>
      </c>
      <c r="U53" s="2"/>
      <c r="V53" s="7">
        <f t="shared" si="25"/>
        <v>1.7200497704979289E-2</v>
      </c>
      <c r="W53" s="2"/>
      <c r="X53" s="6">
        <f t="shared" si="26"/>
        <v>-1120.8900000000001</v>
      </c>
      <c r="Y53" s="2"/>
      <c r="Z53" s="7">
        <f t="shared" si="27"/>
        <v>-0.73699125517785524</v>
      </c>
    </row>
    <row r="54" spans="1:26" s="24" customFormat="1" hidden="1" outlineLevel="2" x14ac:dyDescent="0.25">
      <c r="A54" s="29"/>
      <c r="B54" s="11" t="str">
        <f>CONCATENATE("          ", "6118", " - ", "VACATION")</f>
        <v xml:space="preserve">          6118 - VACATION</v>
      </c>
      <c r="C54" s="11"/>
      <c r="D54" s="6">
        <v>128.46</v>
      </c>
      <c r="E54" s="2"/>
      <c r="F54" s="7">
        <f t="shared" si="20"/>
        <v>4.5305553263121365E-3</v>
      </c>
      <c r="G54" s="2"/>
      <c r="H54" s="6">
        <v>748.14</v>
      </c>
      <c r="I54" s="2"/>
      <c r="J54" s="7">
        <f t="shared" si="21"/>
        <v>3.9841346087278816E-2</v>
      </c>
      <c r="K54" s="2"/>
      <c r="L54" s="6">
        <f t="shared" si="22"/>
        <v>-619.67999999999995</v>
      </c>
      <c r="M54" s="2"/>
      <c r="N54" s="7">
        <f t="shared" si="23"/>
        <v>-0.82829416954046031</v>
      </c>
      <c r="O54" s="11"/>
      <c r="P54" s="6">
        <v>385.38</v>
      </c>
      <c r="Q54" s="2"/>
      <c r="R54" s="7">
        <f t="shared" si="24"/>
        <v>3.2706802332538678E-3</v>
      </c>
      <c r="S54" s="2"/>
      <c r="T54" s="6">
        <v>2148.17</v>
      </c>
      <c r="U54" s="2"/>
      <c r="V54" s="7">
        <f t="shared" si="25"/>
        <v>2.4294557929453189E-2</v>
      </c>
      <c r="W54" s="2"/>
      <c r="X54" s="6">
        <f t="shared" si="26"/>
        <v>-1762.79</v>
      </c>
      <c r="Y54" s="2"/>
      <c r="Z54" s="7">
        <f t="shared" si="27"/>
        <v>-0.82060079044023515</v>
      </c>
    </row>
    <row r="55" spans="1:26" s="24" customFormat="1" hidden="1" outlineLevel="2" x14ac:dyDescent="0.25">
      <c r="A55" s="29"/>
      <c r="B55" s="11" t="str">
        <f>CONCATENATE("          ", "6119", " - ", "SICK LEAVE")</f>
        <v xml:space="preserve">          6119 - SICK LEAVE</v>
      </c>
      <c r="C55" s="11"/>
      <c r="D55" s="6">
        <v>81.03</v>
      </c>
      <c r="E55" s="2"/>
      <c r="F55" s="7">
        <f t="shared" si="20"/>
        <v>2.8577837310530315E-3</v>
      </c>
      <c r="G55" s="2"/>
      <c r="H55" s="6">
        <v>670.05</v>
      </c>
      <c r="I55" s="2"/>
      <c r="J55" s="7">
        <f t="shared" si="21"/>
        <v>3.5682751818885729E-2</v>
      </c>
      <c r="K55" s="2"/>
      <c r="L55" s="6">
        <f t="shared" si="22"/>
        <v>-589.02</v>
      </c>
      <c r="M55" s="2"/>
      <c r="N55" s="7">
        <f t="shared" si="23"/>
        <v>-0.87906872621446164</v>
      </c>
      <c r="O55" s="11"/>
      <c r="P55" s="6">
        <v>243.09</v>
      </c>
      <c r="Q55" s="2"/>
      <c r="R55" s="7">
        <f t="shared" si="24"/>
        <v>2.0630797080847026E-3</v>
      </c>
      <c r="S55" s="2"/>
      <c r="T55" s="6">
        <v>1786.8</v>
      </c>
      <c r="U55" s="2"/>
      <c r="V55" s="7">
        <f t="shared" si="25"/>
        <v>2.0207672627560645E-2</v>
      </c>
      <c r="W55" s="2"/>
      <c r="X55" s="6">
        <f t="shared" si="26"/>
        <v>-1543.71</v>
      </c>
      <c r="Y55" s="2"/>
      <c r="Z55" s="7">
        <f t="shared" si="27"/>
        <v>-0.8639523169912694</v>
      </c>
    </row>
    <row r="56" spans="1:26" s="24" customFormat="1" hidden="1" outlineLevel="2" x14ac:dyDescent="0.25">
      <c r="A56" s="29"/>
      <c r="B56" s="11" t="str">
        <f>CONCATENATE("          ", "6156", " - ", "EMPLOYEE MEALS")</f>
        <v xml:space="preserve">          6156 - EMPLOYEE MEALS</v>
      </c>
      <c r="C56" s="11"/>
      <c r="D56" s="6">
        <v>172.14</v>
      </c>
      <c r="E56" s="2"/>
      <c r="F56" s="7">
        <f t="shared" si="20"/>
        <v>6.07107110284424E-3</v>
      </c>
      <c r="G56" s="2"/>
      <c r="H56" s="6">
        <v>224.93</v>
      </c>
      <c r="I56" s="2"/>
      <c r="J56" s="7">
        <f t="shared" si="21"/>
        <v>1.1978391711994579E-2</v>
      </c>
      <c r="K56" s="2"/>
      <c r="L56" s="6">
        <f t="shared" si="22"/>
        <v>-52.79000000000002</v>
      </c>
      <c r="M56" s="2"/>
      <c r="N56" s="7">
        <f t="shared" si="23"/>
        <v>-0.23469523851865032</v>
      </c>
      <c r="O56" s="11"/>
      <c r="P56" s="6">
        <v>572.38</v>
      </c>
      <c r="Q56" s="2"/>
      <c r="R56" s="7">
        <f t="shared" si="24"/>
        <v>4.8577299079086847E-3</v>
      </c>
      <c r="S56" s="2"/>
      <c r="T56" s="6">
        <v>813.53</v>
      </c>
      <c r="U56" s="2"/>
      <c r="V56" s="7">
        <f t="shared" si="25"/>
        <v>9.2005528949515407E-3</v>
      </c>
      <c r="W56" s="2"/>
      <c r="X56" s="6">
        <f t="shared" si="26"/>
        <v>-241.14999999999998</v>
      </c>
      <c r="Y56" s="2"/>
      <c r="Z56" s="7">
        <f t="shared" si="27"/>
        <v>-0.29642422528978646</v>
      </c>
    </row>
    <row r="57" spans="1:26" s="28" customFormat="1" outlineLevel="1" collapsed="1" x14ac:dyDescent="0.25">
      <c r="A57" s="27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7573.19</v>
      </c>
      <c r="E57" s="1"/>
      <c r="F57" s="5">
        <f t="shared" ref="F57:F62" si="28">IF(D$12=0,0,D57/D$12)</f>
        <v>0.26709291835336918</v>
      </c>
      <c r="G57" s="1"/>
      <c r="H57" s="1">
        <f>SUM(OSRRefH22_1x_0)</f>
        <v>8728.8100000000013</v>
      </c>
      <c r="I57" s="1"/>
      <c r="J57" s="5">
        <f t="shared" ref="J57:J62" si="29">IF(H$12=0,0,H57/H$12)</f>
        <v>0.46484286382241324</v>
      </c>
      <c r="K57" s="1"/>
      <c r="L57" s="1">
        <f t="shared" ref="L57:L62" si="30">+D57-H57</f>
        <v>-1155.6200000000017</v>
      </c>
      <c r="M57" s="1"/>
      <c r="N57" s="5">
        <f t="shared" ref="N57:N62" si="31">IF(H57=0,0,L57/H57)</f>
        <v>-0.13239147146060018</v>
      </c>
      <c r="O57" s="14"/>
      <c r="P57" s="1">
        <f>SUM(OSRRefP22_1x_0)</f>
        <v>25119.77</v>
      </c>
      <c r="Q57" s="1"/>
      <c r="R57" s="5">
        <f t="shared" ref="R57:R62" si="32">IF(P$12=0,0,P57/P$12)</f>
        <v>0.2131888920101809</v>
      </c>
      <c r="S57" s="1"/>
      <c r="T57" s="1">
        <f>SUM(OSRRefT22_1x_0)</f>
        <v>31663.289999999994</v>
      </c>
      <c r="U57" s="1"/>
      <c r="V57" s="5">
        <f t="shared" ref="V57:V62" si="33">IF(T$12=0,0,T57/T$12)</f>
        <v>0.35809346240850382</v>
      </c>
      <c r="W57" s="1"/>
      <c r="X57" s="1">
        <f t="shared" ref="X57:X62" si="34">+P57-T57</f>
        <v>-6543.5199999999932</v>
      </c>
      <c r="Y57" s="1"/>
      <c r="Z57" s="5">
        <f t="shared" ref="Z57:Z62" si="35">IF(T57=0,0,X57/T57)</f>
        <v>-0.20665951011407829</v>
      </c>
    </row>
    <row r="58" spans="1:26" s="24" customFormat="1" hidden="1" outlineLevel="2" x14ac:dyDescent="0.25">
      <c r="A58" s="29"/>
      <c r="B58" s="11" t="str">
        <f>CONCATENATE("          ", "6002", " - ", "STAFF SALARIES")</f>
        <v xml:space="preserve">          6002 - STAFF SALARIES</v>
      </c>
      <c r="C58" s="11"/>
      <c r="D58" s="6">
        <v>1229.51</v>
      </c>
      <c r="E58" s="2"/>
      <c r="F58" s="7">
        <f t="shared" si="28"/>
        <v>4.3362627115475907E-2</v>
      </c>
      <c r="G58" s="2"/>
      <c r="H58" s="6">
        <v>4216.3100000000004</v>
      </c>
      <c r="I58" s="2"/>
      <c r="J58" s="7">
        <f t="shared" si="29"/>
        <v>0.22453480086782496</v>
      </c>
      <c r="K58" s="2"/>
      <c r="L58" s="6">
        <f t="shared" si="30"/>
        <v>-2986.8</v>
      </c>
      <c r="M58" s="2"/>
      <c r="N58" s="7">
        <f t="shared" si="31"/>
        <v>-0.70839193512810961</v>
      </c>
      <c r="O58" s="11"/>
      <c r="P58" s="6">
        <v>4918.87</v>
      </c>
      <c r="Q58" s="2"/>
      <c r="R58" s="7">
        <f t="shared" si="32"/>
        <v>4.1745941353846731E-2</v>
      </c>
      <c r="S58" s="2"/>
      <c r="T58" s="6">
        <v>19441.169999999998</v>
      </c>
      <c r="U58" s="2"/>
      <c r="V58" s="7">
        <f t="shared" si="33"/>
        <v>0.2198683673924072</v>
      </c>
      <c r="W58" s="2"/>
      <c r="X58" s="6">
        <f t="shared" si="34"/>
        <v>-14522.3</v>
      </c>
      <c r="Y58" s="2"/>
      <c r="Z58" s="7">
        <f t="shared" si="35"/>
        <v>-0.74698693545707384</v>
      </c>
    </row>
    <row r="59" spans="1:26" s="24" customFormat="1" hidden="1" outlineLevel="2" x14ac:dyDescent="0.25">
      <c r="A59" s="29"/>
      <c r="B59" s="11" t="str">
        <f>CONCATENATE("          ", "6004", " - ", "STAFF HOURLY")</f>
        <v xml:space="preserve">          6004 - STAFF HOURLY</v>
      </c>
      <c r="C59" s="11"/>
      <c r="D59" s="6">
        <v>1715.4</v>
      </c>
      <c r="E59" s="2"/>
      <c r="F59" s="7">
        <f t="shared" si="28"/>
        <v>6.0499101718479213E-2</v>
      </c>
      <c r="G59" s="2"/>
      <c r="H59" s="6">
        <v>2219.5</v>
      </c>
      <c r="I59" s="2"/>
      <c r="J59" s="7">
        <f t="shared" si="29"/>
        <v>0.11819695196181909</v>
      </c>
      <c r="K59" s="2"/>
      <c r="L59" s="6">
        <f t="shared" si="30"/>
        <v>-504.09999999999991</v>
      </c>
      <c r="M59" s="2"/>
      <c r="N59" s="7">
        <f t="shared" si="31"/>
        <v>-0.22712322595179091</v>
      </c>
      <c r="O59" s="11"/>
      <c r="P59" s="6">
        <v>1946.75</v>
      </c>
      <c r="Q59" s="2"/>
      <c r="R59" s="7">
        <f t="shared" si="32"/>
        <v>1.6521866064889115E-2</v>
      </c>
      <c r="S59" s="2"/>
      <c r="T59" s="6">
        <v>1850.44</v>
      </c>
      <c r="U59" s="2"/>
      <c r="V59" s="7">
        <f t="shared" si="33"/>
        <v>2.0927404150964477E-2</v>
      </c>
      <c r="W59" s="2"/>
      <c r="X59" s="6">
        <f t="shared" si="34"/>
        <v>96.309999999999945</v>
      </c>
      <c r="Y59" s="2"/>
      <c r="Z59" s="7">
        <f t="shared" si="35"/>
        <v>5.2047080694321318E-2</v>
      </c>
    </row>
    <row r="60" spans="1:26" s="24" customFormat="1" hidden="1" outlineLevel="2" x14ac:dyDescent="0.25">
      <c r="A60" s="29"/>
      <c r="B60" s="11" t="str">
        <f>CONCATENATE("          ", "6005", " - ", "TEMPORARY WAGES-HOURLY")</f>
        <v xml:space="preserve">          6005 - TEMPORARY WAGES-HOURLY</v>
      </c>
      <c r="C60" s="11"/>
      <c r="D60" s="6">
        <v>690.74</v>
      </c>
      <c r="E60" s="2"/>
      <c r="F60" s="7">
        <f t="shared" si="28"/>
        <v>2.4361169127330259E-2</v>
      </c>
      <c r="G60" s="2"/>
      <c r="H60" s="6">
        <v>1116.81</v>
      </c>
      <c r="I60" s="2"/>
      <c r="J60" s="7">
        <f t="shared" si="29"/>
        <v>5.9474448263338218E-2</v>
      </c>
      <c r="K60" s="2"/>
      <c r="L60" s="6">
        <f t="shared" si="30"/>
        <v>-426.06999999999994</v>
      </c>
      <c r="M60" s="2"/>
      <c r="N60" s="7">
        <f t="shared" si="31"/>
        <v>-0.38150625442107428</v>
      </c>
      <c r="O60" s="11"/>
      <c r="P60" s="6">
        <v>3172.51</v>
      </c>
      <c r="Q60" s="2"/>
      <c r="R60" s="7">
        <f t="shared" si="32"/>
        <v>2.6924764509835043E-2</v>
      </c>
      <c r="S60" s="2"/>
      <c r="T60" s="6">
        <v>4746.58</v>
      </c>
      <c r="U60" s="2"/>
      <c r="V60" s="7">
        <f t="shared" si="33"/>
        <v>5.368106936452139E-2</v>
      </c>
      <c r="W60" s="2"/>
      <c r="X60" s="6">
        <f t="shared" si="34"/>
        <v>-1574.0699999999997</v>
      </c>
      <c r="Y60" s="2"/>
      <c r="Z60" s="7">
        <f t="shared" si="35"/>
        <v>-0.33162192568122728</v>
      </c>
    </row>
    <row r="61" spans="1:26" s="24" customFormat="1" hidden="1" outlineLevel="2" x14ac:dyDescent="0.25">
      <c r="A61" s="29"/>
      <c r="B61" s="11" t="str">
        <f>CONCATENATE("          ", "6007", " - ", "STUDENT HOURLY")</f>
        <v xml:space="preserve">          6007 - STUDENT HOURLY</v>
      </c>
      <c r="C61" s="11"/>
      <c r="D61" s="6">
        <v>3937.54</v>
      </c>
      <c r="E61" s="2"/>
      <c r="F61" s="7">
        <f t="shared" si="28"/>
        <v>0.13887002039208385</v>
      </c>
      <c r="G61" s="2"/>
      <c r="H61" s="6">
        <v>646.44000000000005</v>
      </c>
      <c r="I61" s="2"/>
      <c r="J61" s="7">
        <f t="shared" si="29"/>
        <v>3.442542808118871E-2</v>
      </c>
      <c r="K61" s="2"/>
      <c r="L61" s="6">
        <f t="shared" si="30"/>
        <v>3291.1</v>
      </c>
      <c r="M61" s="2"/>
      <c r="N61" s="7">
        <f t="shared" si="31"/>
        <v>5.0911144112369282</v>
      </c>
      <c r="O61" s="11"/>
      <c r="P61" s="6">
        <v>14640.05</v>
      </c>
      <c r="Q61" s="2"/>
      <c r="R61" s="7">
        <f t="shared" si="32"/>
        <v>0.12424859138732754</v>
      </c>
      <c r="S61" s="2"/>
      <c r="T61" s="6">
        <v>4630.21</v>
      </c>
      <c r="U61" s="2"/>
      <c r="V61" s="7">
        <f t="shared" si="33"/>
        <v>5.2364992095845976E-2</v>
      </c>
      <c r="W61" s="2"/>
      <c r="X61" s="6">
        <f t="shared" si="34"/>
        <v>10009.84</v>
      </c>
      <c r="Y61" s="2"/>
      <c r="Z61" s="7">
        <f t="shared" si="35"/>
        <v>2.1618544299286642</v>
      </c>
    </row>
    <row r="62" spans="1:26" s="24" customFormat="1" hidden="1" outlineLevel="2" x14ac:dyDescent="0.25">
      <c r="A62" s="29"/>
      <c r="B62" s="11" t="str">
        <f>CONCATENATE("          ", "6008", " - ", "STUDENT HOURLY-FICA EXEMPT")</f>
        <v xml:space="preserve">          6008 - STUDENT HOURLY-FICA EXEMPT</v>
      </c>
      <c r="C62" s="11"/>
      <c r="D62" s="6"/>
      <c r="E62" s="2"/>
      <c r="F62" s="7">
        <f t="shared" si="28"/>
        <v>0</v>
      </c>
      <c r="G62" s="2"/>
      <c r="H62" s="6">
        <v>529.75</v>
      </c>
      <c r="I62" s="2"/>
      <c r="J62" s="7">
        <f t="shared" si="29"/>
        <v>2.8211234648242246E-2</v>
      </c>
      <c r="K62" s="2"/>
      <c r="L62" s="6">
        <f t="shared" si="30"/>
        <v>-529.75</v>
      </c>
      <c r="M62" s="2"/>
      <c r="N62" s="7">
        <f t="shared" si="31"/>
        <v>-1</v>
      </c>
      <c r="O62" s="11"/>
      <c r="P62" s="6">
        <v>441.59</v>
      </c>
      <c r="Q62" s="2"/>
      <c r="R62" s="7">
        <f t="shared" si="32"/>
        <v>3.7477286942824623E-3</v>
      </c>
      <c r="S62" s="2"/>
      <c r="T62" s="6">
        <v>994.89</v>
      </c>
      <c r="U62" s="2"/>
      <c r="V62" s="7">
        <f t="shared" si="33"/>
        <v>1.1251629404764837E-2</v>
      </c>
      <c r="W62" s="2"/>
      <c r="X62" s="6">
        <f t="shared" si="34"/>
        <v>-553.29999999999995</v>
      </c>
      <c r="Y62" s="2"/>
      <c r="Z62" s="7">
        <f t="shared" si="35"/>
        <v>-0.55614188503251616</v>
      </c>
    </row>
    <row r="63" spans="1:26" s="28" customFormat="1" outlineLevel="1" collapsed="1" x14ac:dyDescent="0.25">
      <c r="A63" s="27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420.32</v>
      </c>
      <c r="E63" s="1"/>
      <c r="F63" s="5">
        <f t="shared" ref="F63:F82" si="36">IF(D$12=0,0,D63/D$12)</f>
        <v>1.4823937527288784E-2</v>
      </c>
      <c r="G63" s="1"/>
      <c r="H63" s="1">
        <f>SUM(OSRRefH22_2x_0)</f>
        <v>936</v>
      </c>
      <c r="I63" s="1"/>
      <c r="J63" s="5">
        <f t="shared" ref="J63:J82" si="37">IF(H$12=0,0,H63/H$12)</f>
        <v>4.9845617047201023E-2</v>
      </c>
      <c r="K63" s="1"/>
      <c r="L63" s="1">
        <f t="shared" ref="L63:L82" si="38">+D63-H63</f>
        <v>-515.68000000000006</v>
      </c>
      <c r="M63" s="1"/>
      <c r="N63" s="5">
        <f t="shared" ref="N63:N82" si="39">IF(H63=0,0,L63/H63)</f>
        <v>-0.550940170940171</v>
      </c>
      <c r="O63" s="14"/>
      <c r="P63" s="1">
        <f>SUM(OSRRefP22_2x_0)</f>
        <v>810.32</v>
      </c>
      <c r="Q63" s="1"/>
      <c r="R63" s="5">
        <f t="shared" ref="R63:R82" si="40">IF(P$12=0,0,P63/P$12)</f>
        <v>6.8771020982154605E-3</v>
      </c>
      <c r="S63" s="1"/>
      <c r="T63" s="1">
        <f>SUM(OSRRefT22_2x_0)</f>
        <v>936</v>
      </c>
      <c r="U63" s="1"/>
      <c r="V63" s="5">
        <f t="shared" ref="V63:V82" si="41">IF(T$12=0,0,T63/T$12)</f>
        <v>1.0585617628943791E-2</v>
      </c>
      <c r="W63" s="1"/>
      <c r="X63" s="1">
        <f t="shared" ref="X63:X82" si="42">+P63-T63</f>
        <v>-125.67999999999995</v>
      </c>
      <c r="Y63" s="1"/>
      <c r="Z63" s="5">
        <f t="shared" ref="Z63:Z82" si="43">IF(T63=0,0,X63/T63)</f>
        <v>-0.13427350427350421</v>
      </c>
    </row>
    <row r="64" spans="1:26" s="24" customFormat="1" hidden="1" outlineLevel="2" x14ac:dyDescent="0.25">
      <c r="A64" s="29"/>
      <c r="B64" s="11" t="str">
        <f>CONCATENATE("          ", "6362", " - ", "ADVERTISING EXPENSE")</f>
        <v xml:space="preserve">          6362 - ADVERTISING EXPENSE</v>
      </c>
      <c r="C64" s="11"/>
      <c r="D64" s="6">
        <v>420.32</v>
      </c>
      <c r="E64" s="2"/>
      <c r="F64" s="7">
        <f t="shared" si="36"/>
        <v>1.4823937527288784E-2</v>
      </c>
      <c r="G64" s="2"/>
      <c r="H64" s="6">
        <v>936</v>
      </c>
      <c r="I64" s="2"/>
      <c r="J64" s="7">
        <f t="shared" si="37"/>
        <v>4.9845617047201023E-2</v>
      </c>
      <c r="K64" s="2"/>
      <c r="L64" s="6">
        <f t="shared" si="38"/>
        <v>-515.68000000000006</v>
      </c>
      <c r="M64" s="2"/>
      <c r="N64" s="7">
        <f t="shared" si="39"/>
        <v>-0.550940170940171</v>
      </c>
      <c r="O64" s="11"/>
      <c r="P64" s="6">
        <v>810.32</v>
      </c>
      <c r="Q64" s="2"/>
      <c r="R64" s="7">
        <f t="shared" si="40"/>
        <v>6.8771020982154605E-3</v>
      </c>
      <c r="S64" s="2"/>
      <c r="T64" s="6">
        <v>936</v>
      </c>
      <c r="U64" s="2"/>
      <c r="V64" s="7">
        <f t="shared" si="41"/>
        <v>1.0585617628943791E-2</v>
      </c>
      <c r="W64" s="2"/>
      <c r="X64" s="6">
        <f t="shared" si="42"/>
        <v>-125.67999999999995</v>
      </c>
      <c r="Y64" s="2"/>
      <c r="Z64" s="7">
        <f t="shared" si="43"/>
        <v>-0.13427350427350421</v>
      </c>
    </row>
    <row r="65" spans="1:26" s="28" customFormat="1" outlineLevel="1" collapsed="1" x14ac:dyDescent="0.25">
      <c r="A65" s="27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SUM(OSRRefD22_3x_0)</f>
        <v>-10.06</v>
      </c>
      <c r="E65" s="1"/>
      <c r="F65" s="5">
        <f t="shared" si="36"/>
        <v>-3.5479827637163394E-4</v>
      </c>
      <c r="G65" s="1"/>
      <c r="H65" s="1">
        <f>SUM(OSRRefH22_3x_0)</f>
        <v>-1.23</v>
      </c>
      <c r="I65" s="1"/>
      <c r="J65" s="5">
        <f t="shared" si="37"/>
        <v>-6.5502253171001345E-5</v>
      </c>
      <c r="K65" s="1"/>
      <c r="L65" s="1">
        <f t="shared" si="38"/>
        <v>-8.83</v>
      </c>
      <c r="M65" s="1"/>
      <c r="N65" s="5">
        <f t="shared" si="39"/>
        <v>7.178861788617886</v>
      </c>
      <c r="O65" s="14"/>
      <c r="P65" s="1">
        <f>SUM(OSRRefP22_3x_0)</f>
        <v>-8.36</v>
      </c>
      <c r="Q65" s="1"/>
      <c r="R65" s="5">
        <f t="shared" si="40"/>
        <v>-7.0950456043391801E-5</v>
      </c>
      <c r="S65" s="1"/>
      <c r="T65" s="1">
        <f>SUM(OSRRefT22_3x_0)</f>
        <v>-0.53</v>
      </c>
      <c r="U65" s="1"/>
      <c r="V65" s="5">
        <f t="shared" si="41"/>
        <v>-5.9939928881839842E-6</v>
      </c>
      <c r="W65" s="1"/>
      <c r="X65" s="1">
        <f t="shared" si="42"/>
        <v>-7.8299999999999992</v>
      </c>
      <c r="Y65" s="1"/>
      <c r="Z65" s="5">
        <f t="shared" si="43"/>
        <v>14.773584905660375</v>
      </c>
    </row>
    <row r="66" spans="1:26" s="24" customFormat="1" hidden="1" outlineLevel="2" x14ac:dyDescent="0.25">
      <c r="A66" s="29"/>
      <c r="B66" s="11" t="str">
        <f>CONCATENATE("          ", "6272", " - ", "CASH (OVER/SHORT)")</f>
        <v xml:space="preserve">          6272 - CASH (OVER/SHORT)</v>
      </c>
      <c r="C66" s="11"/>
      <c r="D66" s="6">
        <v>-10.06</v>
      </c>
      <c r="E66" s="2"/>
      <c r="F66" s="7">
        <f t="shared" si="36"/>
        <v>-3.5479827637163394E-4</v>
      </c>
      <c r="G66" s="2"/>
      <c r="H66" s="6">
        <v>-1.23</v>
      </c>
      <c r="I66" s="2"/>
      <c r="J66" s="7">
        <f t="shared" si="37"/>
        <v>-6.5502253171001345E-5</v>
      </c>
      <c r="K66" s="2"/>
      <c r="L66" s="6">
        <f t="shared" si="38"/>
        <v>-8.83</v>
      </c>
      <c r="M66" s="2"/>
      <c r="N66" s="7">
        <f t="shared" si="39"/>
        <v>7.178861788617886</v>
      </c>
      <c r="O66" s="11"/>
      <c r="P66" s="6">
        <v>-8.36</v>
      </c>
      <c r="Q66" s="2"/>
      <c r="R66" s="7">
        <f t="shared" si="40"/>
        <v>-7.0950456043391801E-5</v>
      </c>
      <c r="S66" s="2"/>
      <c r="T66" s="6">
        <v>-0.53</v>
      </c>
      <c r="U66" s="2"/>
      <c r="V66" s="7">
        <f t="shared" si="41"/>
        <v>-5.9939928881839842E-6</v>
      </c>
      <c r="W66" s="2"/>
      <c r="X66" s="6">
        <f t="shared" si="42"/>
        <v>-7.8299999999999992</v>
      </c>
      <c r="Y66" s="2"/>
      <c r="Z66" s="7">
        <f t="shared" si="43"/>
        <v>14.773584905660375</v>
      </c>
    </row>
    <row r="67" spans="1:26" s="28" customFormat="1" outlineLevel="1" collapsed="1" x14ac:dyDescent="0.25">
      <c r="A67" s="27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SUM(OSRRefD22_4x_0)</f>
        <v>419.96</v>
      </c>
      <c r="E67" s="1"/>
      <c r="F67" s="5">
        <f t="shared" si="36"/>
        <v>1.4811240968690992E-2</v>
      </c>
      <c r="G67" s="1"/>
      <c r="H67" s="1">
        <f>SUM(OSRRefH22_4x_0)</f>
        <v>291.5</v>
      </c>
      <c r="I67" s="1"/>
      <c r="J67" s="5">
        <f t="shared" si="37"/>
        <v>1.5523501462883652E-2</v>
      </c>
      <c r="K67" s="1"/>
      <c r="L67" s="1">
        <f t="shared" si="38"/>
        <v>128.45999999999998</v>
      </c>
      <c r="M67" s="1"/>
      <c r="N67" s="5">
        <f t="shared" si="39"/>
        <v>0.44068610634648364</v>
      </c>
      <c r="O67" s="14"/>
      <c r="P67" s="1">
        <f>SUM(OSRRefP22_4x_0)</f>
        <v>1921.94</v>
      </c>
      <c r="Q67" s="1"/>
      <c r="R67" s="5">
        <f t="shared" si="40"/>
        <v>1.6311306158856034E-2</v>
      </c>
      <c r="S67" s="1"/>
      <c r="T67" s="1">
        <f>SUM(OSRRefT22_4x_0)</f>
        <v>1357.67</v>
      </c>
      <c r="U67" s="1"/>
      <c r="V67" s="5">
        <f t="shared" si="41"/>
        <v>1.5354460989624057E-2</v>
      </c>
      <c r="W67" s="1"/>
      <c r="X67" s="1">
        <f t="shared" si="42"/>
        <v>564.27</v>
      </c>
      <c r="Y67" s="1"/>
      <c r="Z67" s="5">
        <f t="shared" si="43"/>
        <v>0.41561646055374279</v>
      </c>
    </row>
    <row r="68" spans="1:26" s="24" customFormat="1" hidden="1" outlineLevel="2" x14ac:dyDescent="0.25">
      <c r="A68" s="29"/>
      <c r="B68" s="11" t="str">
        <f>CONCATENATE("          ", "6381", " - ", "BANK/CREDIT CARD FEES")</f>
        <v xml:space="preserve">          6381 - BANK/CREDIT CARD FEES</v>
      </c>
      <c r="C68" s="11"/>
      <c r="D68" s="6">
        <v>419.96</v>
      </c>
      <c r="E68" s="2"/>
      <c r="F68" s="7">
        <f t="shared" si="36"/>
        <v>1.4811240968690992E-2</v>
      </c>
      <c r="G68" s="2"/>
      <c r="H68" s="6">
        <v>291.5</v>
      </c>
      <c r="I68" s="2"/>
      <c r="J68" s="7">
        <f t="shared" si="37"/>
        <v>1.5523501462883652E-2</v>
      </c>
      <c r="K68" s="2"/>
      <c r="L68" s="6">
        <f t="shared" si="38"/>
        <v>128.45999999999998</v>
      </c>
      <c r="M68" s="2"/>
      <c r="N68" s="7">
        <f t="shared" si="39"/>
        <v>0.44068610634648364</v>
      </c>
      <c r="O68" s="11"/>
      <c r="P68" s="6">
        <v>1921.94</v>
      </c>
      <c r="Q68" s="2"/>
      <c r="R68" s="7">
        <f t="shared" si="40"/>
        <v>1.6311306158856034E-2</v>
      </c>
      <c r="S68" s="2"/>
      <c r="T68" s="6">
        <v>1357.67</v>
      </c>
      <c r="U68" s="2"/>
      <c r="V68" s="7">
        <f t="shared" si="41"/>
        <v>1.5354460989624057E-2</v>
      </c>
      <c r="W68" s="2"/>
      <c r="X68" s="6">
        <f t="shared" si="42"/>
        <v>564.27</v>
      </c>
      <c r="Y68" s="2"/>
      <c r="Z68" s="7">
        <f t="shared" si="43"/>
        <v>0.41561646055374279</v>
      </c>
    </row>
    <row r="69" spans="1:26" s="28" customFormat="1" outlineLevel="1" collapsed="1" x14ac:dyDescent="0.25">
      <c r="A69" s="27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SUM(OSRRefD22_5x_0)</f>
        <v>0</v>
      </c>
      <c r="E69" s="1"/>
      <c r="F69" s="5">
        <f t="shared" si="36"/>
        <v>0</v>
      </c>
      <c r="G69" s="1"/>
      <c r="H69" s="1">
        <f>SUM(OSRRefH22_5x_0)</f>
        <v>-830.95</v>
      </c>
      <c r="I69" s="1"/>
      <c r="J69" s="5">
        <f t="shared" si="37"/>
        <v>-4.4251298595482574E-2</v>
      </c>
      <c r="K69" s="1"/>
      <c r="L69" s="1">
        <f t="shared" si="38"/>
        <v>830.95</v>
      </c>
      <c r="M69" s="1"/>
      <c r="N69" s="5">
        <f t="shared" si="39"/>
        <v>-1</v>
      </c>
      <c r="O69" s="14"/>
      <c r="P69" s="1">
        <f>SUM(OSRRefP22_5x_0)</f>
        <v>0</v>
      </c>
      <c r="Q69" s="1"/>
      <c r="R69" s="5">
        <f t="shared" si="40"/>
        <v>0</v>
      </c>
      <c r="S69" s="1"/>
      <c r="T69" s="1">
        <f>SUM(OSRRefT22_5x_0)</f>
        <v>0</v>
      </c>
      <c r="U69" s="1"/>
      <c r="V69" s="5">
        <f t="shared" si="41"/>
        <v>0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25">
      <c r="A70" s="29"/>
      <c r="B70" s="11" t="str">
        <f>CONCATENATE("          ", "6382", " - ", "DISCOUNTS/MARK DOWNS")</f>
        <v xml:space="preserve">          6382 - DISCOUNTS/MARK DOWNS</v>
      </c>
      <c r="C70" s="11"/>
      <c r="D70" s="6"/>
      <c r="E70" s="2"/>
      <c r="F70" s="7">
        <f t="shared" si="36"/>
        <v>0</v>
      </c>
      <c r="G70" s="2"/>
      <c r="H70" s="6">
        <v>-830.95</v>
      </c>
      <c r="I70" s="2"/>
      <c r="J70" s="7">
        <f t="shared" si="37"/>
        <v>-4.4251298595482574E-2</v>
      </c>
      <c r="K70" s="2"/>
      <c r="L70" s="6">
        <f t="shared" si="38"/>
        <v>830.95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0</v>
      </c>
      <c r="U70" s="2"/>
      <c r="V70" s="7">
        <f t="shared" si="41"/>
        <v>0</v>
      </c>
      <c r="W70" s="2"/>
      <c r="X70" s="6">
        <f t="shared" si="42"/>
        <v>0</v>
      </c>
      <c r="Y70" s="2"/>
      <c r="Z70" s="7">
        <f t="shared" si="43"/>
        <v>0</v>
      </c>
    </row>
    <row r="71" spans="1:26" s="28" customFormat="1" outlineLevel="1" collapsed="1" x14ac:dyDescent="0.25">
      <c r="A71" s="27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SUM(OSRRefD22_6x_0)</f>
        <v>219.08</v>
      </c>
      <c r="E71" s="1"/>
      <c r="F71" s="5">
        <f t="shared" si="36"/>
        <v>7.726561271123018E-3</v>
      </c>
      <c r="G71" s="1"/>
      <c r="H71" s="1">
        <f>SUM(OSRRefH22_6x_0)</f>
        <v>161.18</v>
      </c>
      <c r="I71" s="1"/>
      <c r="J71" s="5">
        <f t="shared" si="37"/>
        <v>8.5834578586195098E-3</v>
      </c>
      <c r="K71" s="1"/>
      <c r="L71" s="1">
        <f t="shared" si="38"/>
        <v>57.900000000000006</v>
      </c>
      <c r="M71" s="1"/>
      <c r="N71" s="5">
        <f t="shared" si="39"/>
        <v>0.35922571038590395</v>
      </c>
      <c r="O71" s="14"/>
      <c r="P71" s="1">
        <f>SUM(OSRRefP22_6x_0)</f>
        <v>876.32</v>
      </c>
      <c r="Q71" s="1"/>
      <c r="R71" s="5">
        <f t="shared" si="40"/>
        <v>7.4372372775053965E-3</v>
      </c>
      <c r="S71" s="1"/>
      <c r="T71" s="1">
        <f>SUM(OSRRefT22_6x_0)</f>
        <v>644.72</v>
      </c>
      <c r="U71" s="1"/>
      <c r="V71" s="5">
        <f t="shared" si="41"/>
        <v>7.2914096129622239E-3</v>
      </c>
      <c r="W71" s="1"/>
      <c r="X71" s="1">
        <f t="shared" si="42"/>
        <v>231.60000000000002</v>
      </c>
      <c r="Y71" s="1"/>
      <c r="Z71" s="5">
        <f t="shared" si="43"/>
        <v>0.35922571038590395</v>
      </c>
    </row>
    <row r="72" spans="1:26" s="24" customFormat="1" hidden="1" outlineLevel="2" x14ac:dyDescent="0.25">
      <c r="A72" s="29"/>
      <c r="B72" s="11" t="str">
        <f>CONCATENATE("          ", "6314", " - ", "LIABILITY INSURANCE")</f>
        <v xml:space="preserve">          6314 - LIABILITY INSURANCE</v>
      </c>
      <c r="C72" s="11"/>
      <c r="D72" s="6">
        <v>219.08</v>
      </c>
      <c r="E72" s="2"/>
      <c r="F72" s="7">
        <f t="shared" si="36"/>
        <v>7.726561271123018E-3</v>
      </c>
      <c r="G72" s="2"/>
      <c r="H72" s="6">
        <v>161.18</v>
      </c>
      <c r="I72" s="2"/>
      <c r="J72" s="7">
        <f t="shared" si="37"/>
        <v>8.5834578586195098E-3</v>
      </c>
      <c r="K72" s="2"/>
      <c r="L72" s="6">
        <f t="shared" si="38"/>
        <v>57.900000000000006</v>
      </c>
      <c r="M72" s="2"/>
      <c r="N72" s="7">
        <f t="shared" si="39"/>
        <v>0.35922571038590395</v>
      </c>
      <c r="O72" s="11"/>
      <c r="P72" s="6">
        <v>876.32</v>
      </c>
      <c r="Q72" s="2"/>
      <c r="R72" s="7">
        <f t="shared" si="40"/>
        <v>7.4372372775053965E-3</v>
      </c>
      <c r="S72" s="2"/>
      <c r="T72" s="6">
        <v>644.72</v>
      </c>
      <c r="U72" s="2"/>
      <c r="V72" s="7">
        <f t="shared" si="41"/>
        <v>7.2914096129622239E-3</v>
      </c>
      <c r="W72" s="2"/>
      <c r="X72" s="6">
        <f t="shared" si="42"/>
        <v>231.60000000000002</v>
      </c>
      <c r="Y72" s="2"/>
      <c r="Z72" s="7">
        <f t="shared" si="43"/>
        <v>0.35922571038590395</v>
      </c>
    </row>
    <row r="73" spans="1:26" s="28" customFormat="1" outlineLevel="1" collapsed="1" x14ac:dyDescent="0.25">
      <c r="A73" s="27"/>
      <c r="B73" s="14" t="str">
        <f>CONCATENATE("     ","Inventory Adjustment                              ")</f>
        <v xml:space="preserve">     Inventory Adjustment                              </v>
      </c>
      <c r="C73" s="14"/>
      <c r="D73" s="1">
        <f>SUM(OSRRefD22_7x_0)</f>
        <v>100</v>
      </c>
      <c r="E73" s="1"/>
      <c r="F73" s="5">
        <f t="shared" si="36"/>
        <v>3.5268218327200191E-3</v>
      </c>
      <c r="G73" s="1"/>
      <c r="H73" s="1">
        <f>SUM(OSRRefH22_7x_0)</f>
        <v>100</v>
      </c>
      <c r="I73" s="1"/>
      <c r="J73" s="5">
        <f t="shared" si="37"/>
        <v>5.3253864366667762E-3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SUM(OSRRefP22_7x_0)</f>
        <v>400</v>
      </c>
      <c r="Q73" s="1"/>
      <c r="R73" s="5">
        <f t="shared" si="40"/>
        <v>3.3947586623632444E-3</v>
      </c>
      <c r="S73" s="1"/>
      <c r="T73" s="1">
        <f>SUM(OSRRefT22_7x_0)</f>
        <v>400</v>
      </c>
      <c r="U73" s="1"/>
      <c r="V73" s="5">
        <f t="shared" si="41"/>
        <v>4.5237682174973466E-3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25">
      <c r="A74" s="29"/>
      <c r="B74" s="11" t="str">
        <f>CONCATENATE("          ", "6408", " - ", "INVENTORY ADJUSTMENT")</f>
        <v xml:space="preserve">          6408 - INVENTORY ADJUSTMENT</v>
      </c>
      <c r="C74" s="11"/>
      <c r="D74" s="6">
        <v>100</v>
      </c>
      <c r="E74" s="2"/>
      <c r="F74" s="7">
        <f t="shared" si="36"/>
        <v>3.5268218327200191E-3</v>
      </c>
      <c r="G74" s="2"/>
      <c r="H74" s="6">
        <v>100</v>
      </c>
      <c r="I74" s="2"/>
      <c r="J74" s="7">
        <f t="shared" si="37"/>
        <v>5.3253864366667762E-3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400</v>
      </c>
      <c r="Q74" s="2"/>
      <c r="R74" s="7">
        <f t="shared" si="40"/>
        <v>3.3947586623632444E-3</v>
      </c>
      <c r="S74" s="2"/>
      <c r="T74" s="6">
        <v>400</v>
      </c>
      <c r="U74" s="2"/>
      <c r="V74" s="7">
        <f t="shared" si="41"/>
        <v>4.5237682174973466E-3</v>
      </c>
      <c r="W74" s="2"/>
      <c r="X74" s="6">
        <f t="shared" si="42"/>
        <v>0</v>
      </c>
      <c r="Y74" s="2"/>
      <c r="Z74" s="7">
        <f t="shared" si="43"/>
        <v>0</v>
      </c>
    </row>
    <row r="75" spans="1:26" s="28" customFormat="1" outlineLevel="1" collapsed="1" x14ac:dyDescent="0.25">
      <c r="A75" s="27"/>
      <c r="B75" s="14" t="str">
        <f>CONCATENATE("     ","Professional Services                             ")</f>
        <v xml:space="preserve">     Professional Services                             </v>
      </c>
      <c r="C75" s="14"/>
      <c r="D75" s="1">
        <f>SUM(OSRRefD22_8x_0)</f>
        <v>161.46</v>
      </c>
      <c r="E75" s="1"/>
      <c r="F75" s="5">
        <f t="shared" si="36"/>
        <v>5.6944065311097429E-3</v>
      </c>
      <c r="G75" s="1"/>
      <c r="H75" s="1">
        <f>SUM(OSRRefH22_8x_0)</f>
        <v>0</v>
      </c>
      <c r="I75" s="1"/>
      <c r="J75" s="5">
        <f t="shared" si="37"/>
        <v>0</v>
      </c>
      <c r="K75" s="1"/>
      <c r="L75" s="1">
        <f t="shared" si="38"/>
        <v>161.46</v>
      </c>
      <c r="M75" s="1"/>
      <c r="N75" s="5">
        <f t="shared" si="39"/>
        <v>0</v>
      </c>
      <c r="O75" s="14"/>
      <c r="P75" s="1">
        <f>SUM(OSRRefP22_8x_0)</f>
        <v>161.46</v>
      </c>
      <c r="Q75" s="1"/>
      <c r="R75" s="5">
        <f t="shared" si="40"/>
        <v>1.3702943340629236E-3</v>
      </c>
      <c r="S75" s="1"/>
      <c r="T75" s="1">
        <f>SUM(OSRRefT22_8x_0)</f>
        <v>0</v>
      </c>
      <c r="U75" s="1"/>
      <c r="V75" s="5">
        <f t="shared" si="41"/>
        <v>0</v>
      </c>
      <c r="W75" s="1"/>
      <c r="X75" s="1">
        <f t="shared" si="42"/>
        <v>161.46</v>
      </c>
      <c r="Y75" s="1"/>
      <c r="Z75" s="5">
        <f t="shared" si="43"/>
        <v>0</v>
      </c>
    </row>
    <row r="76" spans="1:26" s="24" customFormat="1" hidden="1" outlineLevel="2" x14ac:dyDescent="0.25">
      <c r="A76" s="29"/>
      <c r="B76" s="11" t="str">
        <f>CONCATENATE("          ", "6336", " - ", "PROFESSIONAL SERVICES")</f>
        <v xml:space="preserve">          6336 - PROFESSIONAL SERVICES</v>
      </c>
      <c r="C76" s="11"/>
      <c r="D76" s="6">
        <v>161.46</v>
      </c>
      <c r="E76" s="2"/>
      <c r="F76" s="7">
        <f t="shared" si="36"/>
        <v>5.6944065311097429E-3</v>
      </c>
      <c r="G76" s="2"/>
      <c r="H76" s="6"/>
      <c r="I76" s="2"/>
      <c r="J76" s="7">
        <f t="shared" si="37"/>
        <v>0</v>
      </c>
      <c r="K76" s="2"/>
      <c r="L76" s="6">
        <f t="shared" si="38"/>
        <v>161.46</v>
      </c>
      <c r="M76" s="2"/>
      <c r="N76" s="7">
        <f t="shared" si="39"/>
        <v>0</v>
      </c>
      <c r="O76" s="11"/>
      <c r="P76" s="6">
        <v>161.46</v>
      </c>
      <c r="Q76" s="2"/>
      <c r="R76" s="7">
        <f t="shared" si="40"/>
        <v>1.3702943340629236E-3</v>
      </c>
      <c r="S76" s="2"/>
      <c r="T76" s="6"/>
      <c r="U76" s="2"/>
      <c r="V76" s="7">
        <f t="shared" si="41"/>
        <v>0</v>
      </c>
      <c r="W76" s="2"/>
      <c r="X76" s="6">
        <f t="shared" si="42"/>
        <v>161.46</v>
      </c>
      <c r="Y76" s="2"/>
      <c r="Z76" s="7">
        <f t="shared" si="43"/>
        <v>0</v>
      </c>
    </row>
    <row r="77" spans="1:26" s="28" customFormat="1" outlineLevel="1" collapsed="1" x14ac:dyDescent="0.25">
      <c r="A77" s="27"/>
      <c r="B77" s="14" t="str">
        <f>CONCATENATE("     ","Rent                                              ")</f>
        <v xml:space="preserve">     Rent                                              </v>
      </c>
      <c r="C77" s="14"/>
      <c r="D77" s="1">
        <f>SUM(OSRRefD22_9x_0)</f>
        <v>6900</v>
      </c>
      <c r="E77" s="1"/>
      <c r="F77" s="5">
        <f t="shared" si="36"/>
        <v>0.24335070645768131</v>
      </c>
      <c r="G77" s="1"/>
      <c r="H77" s="1">
        <f>SUM(OSRRefH22_9x_0)</f>
        <v>6900</v>
      </c>
      <c r="I77" s="1"/>
      <c r="J77" s="5">
        <f t="shared" si="37"/>
        <v>0.36745166413000752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SUM(OSRRefP22_9x_0)</f>
        <v>27600</v>
      </c>
      <c r="Q77" s="1"/>
      <c r="R77" s="5">
        <f t="shared" si="40"/>
        <v>0.23423834770306387</v>
      </c>
      <c r="S77" s="1"/>
      <c r="T77" s="1">
        <f>SUM(OSRRefT22_9x_0)</f>
        <v>27600</v>
      </c>
      <c r="U77" s="1"/>
      <c r="V77" s="5">
        <f t="shared" si="41"/>
        <v>0.31214000700731692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25">
      <c r="A78" s="29"/>
      <c r="B78" s="11" t="str">
        <f>CONCATENATE("          ", "6273", " - ", "RENT")</f>
        <v xml:space="preserve">          6273 - RENT</v>
      </c>
      <c r="C78" s="11"/>
      <c r="D78" s="6">
        <v>6900</v>
      </c>
      <c r="E78" s="2"/>
      <c r="F78" s="7">
        <f t="shared" si="36"/>
        <v>0.24335070645768131</v>
      </c>
      <c r="G78" s="2"/>
      <c r="H78" s="6">
        <v>6900</v>
      </c>
      <c r="I78" s="2"/>
      <c r="J78" s="7">
        <f t="shared" si="37"/>
        <v>0.36745166413000752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>
        <v>27600</v>
      </c>
      <c r="Q78" s="2"/>
      <c r="R78" s="7">
        <f t="shared" si="40"/>
        <v>0.23423834770306387</v>
      </c>
      <c r="S78" s="2"/>
      <c r="T78" s="6">
        <v>27600</v>
      </c>
      <c r="U78" s="2"/>
      <c r="V78" s="7">
        <f t="shared" si="41"/>
        <v>0.31214000700731692</v>
      </c>
      <c r="W78" s="2"/>
      <c r="X78" s="6">
        <f t="shared" si="42"/>
        <v>0</v>
      </c>
      <c r="Y78" s="2"/>
      <c r="Z78" s="7">
        <f t="shared" si="43"/>
        <v>0</v>
      </c>
    </row>
    <row r="79" spans="1:26" s="28" customFormat="1" outlineLevel="1" collapsed="1" x14ac:dyDescent="0.25">
      <c r="A79" s="27"/>
      <c r="B79" s="14" t="str">
        <f>CONCATENATE("     ","Repair and Maintenance                            ")</f>
        <v xml:space="preserve">     Repair and Maintenance                            </v>
      </c>
      <c r="C79" s="14"/>
      <c r="D79" s="1">
        <f>SUM(OSRRefD22_10x_0)</f>
        <v>0</v>
      </c>
      <c r="E79" s="1"/>
      <c r="F79" s="5">
        <f t="shared" si="36"/>
        <v>0</v>
      </c>
      <c r="G79" s="1"/>
      <c r="H79" s="1">
        <f>SUM(OSRRefH22_10x_0)</f>
        <v>0</v>
      </c>
      <c r="I79" s="1"/>
      <c r="J79" s="5">
        <f t="shared" si="37"/>
        <v>0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SUM(OSRRefP22_10x_0)</f>
        <v>1003.72</v>
      </c>
      <c r="Q79" s="1"/>
      <c r="R79" s="5">
        <f t="shared" si="40"/>
        <v>8.5184679114680886E-3</v>
      </c>
      <c r="S79" s="1"/>
      <c r="T79" s="1">
        <f>SUM(OSRRefT22_10x_0)</f>
        <v>48.21</v>
      </c>
      <c r="U79" s="1"/>
      <c r="V79" s="5">
        <f t="shared" si="41"/>
        <v>5.4522716441386774E-4</v>
      </c>
      <c r="W79" s="1"/>
      <c r="X79" s="1">
        <f t="shared" si="42"/>
        <v>955.51</v>
      </c>
      <c r="Y79" s="1"/>
      <c r="Z79" s="5">
        <f t="shared" si="43"/>
        <v>19.819746940468782</v>
      </c>
    </row>
    <row r="80" spans="1:26" s="24" customFormat="1" hidden="1" outlineLevel="2" x14ac:dyDescent="0.25">
      <c r="A80" s="29"/>
      <c r="B80" s="11" t="str">
        <f>CONCATENATE("          ", "6372", " - ", "COMPUTER HARDWARE MAINTENANCE")</f>
        <v xml:space="preserve">          6372 - COMPUTER HARDWARE MAINTENANCE</v>
      </c>
      <c r="C80" s="11"/>
      <c r="D80" s="6"/>
      <c r="E80" s="2"/>
      <c r="F80" s="7">
        <f t="shared" si="36"/>
        <v>0</v>
      </c>
      <c r="G80" s="2"/>
      <c r="H80" s="6">
        <v>0</v>
      </c>
      <c r="I80" s="2"/>
      <c r="J80" s="7">
        <f t="shared" si="37"/>
        <v>0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/>
      <c r="Q80" s="2"/>
      <c r="R80" s="7">
        <f t="shared" si="40"/>
        <v>0</v>
      </c>
      <c r="S80" s="2"/>
      <c r="T80" s="6">
        <v>0</v>
      </c>
      <c r="U80" s="2"/>
      <c r="V80" s="7">
        <f t="shared" si="41"/>
        <v>0</v>
      </c>
      <c r="W80" s="2"/>
      <c r="X80" s="6">
        <f t="shared" si="42"/>
        <v>0</v>
      </c>
      <c r="Y80" s="2"/>
      <c r="Z80" s="7">
        <f t="shared" si="43"/>
        <v>0</v>
      </c>
    </row>
    <row r="81" spans="1:26" s="24" customFormat="1" hidden="1" outlineLevel="2" x14ac:dyDescent="0.25">
      <c r="A81" s="29"/>
      <c r="B81" s="11" t="str">
        <f>CONCATENATE("          ", "6373", " - ", "MAINTENANCE CONTRACTS")</f>
        <v xml:space="preserve">          6373 - MAINTENANCE CONTRACTS</v>
      </c>
      <c r="C81" s="11"/>
      <c r="D81" s="6"/>
      <c r="E81" s="2"/>
      <c r="F81" s="7">
        <f t="shared" si="36"/>
        <v>0</v>
      </c>
      <c r="G81" s="2"/>
      <c r="H81" s="6"/>
      <c r="I81" s="2"/>
      <c r="J81" s="7">
        <f t="shared" si="37"/>
        <v>0</v>
      </c>
      <c r="K81" s="2"/>
      <c r="L81" s="6">
        <f t="shared" si="38"/>
        <v>0</v>
      </c>
      <c r="M81" s="2"/>
      <c r="N81" s="7">
        <f t="shared" si="39"/>
        <v>0</v>
      </c>
      <c r="O81" s="11"/>
      <c r="P81" s="6">
        <v>230.9</v>
      </c>
      <c r="Q81" s="2"/>
      <c r="R81" s="7">
        <f t="shared" si="40"/>
        <v>1.9596244378491828E-3</v>
      </c>
      <c r="S81" s="2"/>
      <c r="T81" s="6">
        <v>48.21</v>
      </c>
      <c r="U81" s="2"/>
      <c r="V81" s="7">
        <f t="shared" si="41"/>
        <v>5.4522716441386774E-4</v>
      </c>
      <c r="W81" s="2"/>
      <c r="X81" s="6">
        <f t="shared" si="42"/>
        <v>182.69</v>
      </c>
      <c r="Y81" s="2"/>
      <c r="Z81" s="7">
        <f t="shared" si="43"/>
        <v>3.7894627670607757</v>
      </c>
    </row>
    <row r="82" spans="1:26" s="24" customFormat="1" hidden="1" outlineLevel="2" x14ac:dyDescent="0.25">
      <c r="A82" s="29"/>
      <c r="B82" s="11" t="str">
        <f>CONCATENATE("          ", "6375", " - ", "OUTSIDE REPAIRS &amp; MAINTENANCE")</f>
        <v xml:space="preserve">          6375 - OUTSIDE REPAIRS &amp; MAINTENANCE</v>
      </c>
      <c r="C82" s="11"/>
      <c r="D82" s="6"/>
      <c r="E82" s="2"/>
      <c r="F82" s="7">
        <f t="shared" si="36"/>
        <v>0</v>
      </c>
      <c r="G82" s="2"/>
      <c r="H82" s="6"/>
      <c r="I82" s="2"/>
      <c r="J82" s="7">
        <f t="shared" si="37"/>
        <v>0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772.82</v>
      </c>
      <c r="Q82" s="2"/>
      <c r="R82" s="7">
        <f t="shared" si="40"/>
        <v>6.5588434736189071E-3</v>
      </c>
      <c r="S82" s="2"/>
      <c r="T82" s="6"/>
      <c r="U82" s="2"/>
      <c r="V82" s="7">
        <f t="shared" si="41"/>
        <v>0</v>
      </c>
      <c r="W82" s="2"/>
      <c r="X82" s="6">
        <f t="shared" si="42"/>
        <v>772.82</v>
      </c>
      <c r="Y82" s="2"/>
      <c r="Z82" s="7">
        <f t="shared" si="43"/>
        <v>0</v>
      </c>
    </row>
    <row r="83" spans="1:26" s="28" customFormat="1" outlineLevel="1" collapsed="1" x14ac:dyDescent="0.25">
      <c r="A83" s="27"/>
      <c r="B83" s="14" t="str">
        <f>CONCATENATE("     ","Services                                          ")</f>
        <v xml:space="preserve">     Services                                          </v>
      </c>
      <c r="C83" s="14"/>
      <c r="D83" s="1">
        <f>SUM(OSRRefD22_11x_0)</f>
        <v>162.72</v>
      </c>
      <c r="E83" s="1"/>
      <c r="F83" s="5">
        <f t="shared" ref="F83:F85" si="44">IF(D$12=0,0,D83/D$12)</f>
        <v>5.7388444862020152E-3</v>
      </c>
      <c r="G83" s="1"/>
      <c r="H83" s="1">
        <f>SUM(OSRRefH22_11x_0)</f>
        <v>96.860000000000014</v>
      </c>
      <c r="I83" s="1"/>
      <c r="J83" s="5">
        <f t="shared" ref="J83:J85" si="45">IF(H$12=0,0,H83/H$12)</f>
        <v>5.1581693025554397E-3</v>
      </c>
      <c r="K83" s="1"/>
      <c r="L83" s="1">
        <f t="shared" ref="L83:L85" si="46">+D83-H83</f>
        <v>65.859999999999985</v>
      </c>
      <c r="M83" s="1"/>
      <c r="N83" s="5">
        <f t="shared" ref="N83:N85" si="47">IF(H83=0,0,L83/H83)</f>
        <v>0.67995044393970649</v>
      </c>
      <c r="O83" s="14"/>
      <c r="P83" s="1">
        <f>SUM(OSRRefP22_11x_0)</f>
        <v>643.75</v>
      </c>
      <c r="Q83" s="1"/>
      <c r="R83" s="5">
        <f t="shared" ref="R83:R85" si="48">IF(P$12=0,0,P83/P$12)</f>
        <v>5.4634397222408466E-3</v>
      </c>
      <c r="S83" s="1"/>
      <c r="T83" s="1">
        <f>SUM(OSRRefT22_11x_0)</f>
        <v>-12.170000000000073</v>
      </c>
      <c r="U83" s="1"/>
      <c r="V83" s="5">
        <f t="shared" ref="V83:V85" si="49">IF(T$12=0,0,T83/T$12)</f>
        <v>-1.3763564801735759E-4</v>
      </c>
      <c r="W83" s="1"/>
      <c r="X83" s="1">
        <f t="shared" ref="X83:X85" si="50">+P83-T83</f>
        <v>655.92000000000007</v>
      </c>
      <c r="Y83" s="1"/>
      <c r="Z83" s="5">
        <f t="shared" ref="Z83:Z85" si="51">IF(T83=0,0,X83/T83)</f>
        <v>-53.896466721445861</v>
      </c>
    </row>
    <row r="84" spans="1:26" s="24" customFormat="1" hidden="1" outlineLevel="2" x14ac:dyDescent="0.25">
      <c r="A84" s="29"/>
      <c r="B84" s="11" t="str">
        <f>CONCATENATE("          ", "6284", " - ", "TRASH REMOVAL EXPENSE")</f>
        <v xml:space="preserve">          6284 - TRASH REMOVAL EXPENSE</v>
      </c>
      <c r="C84" s="11"/>
      <c r="D84" s="6">
        <v>149.69999999999999</v>
      </c>
      <c r="E84" s="2"/>
      <c r="F84" s="7">
        <f t="shared" si="44"/>
        <v>5.2796522835818682E-3</v>
      </c>
      <c r="G84" s="2"/>
      <c r="H84" s="6">
        <v>157.59</v>
      </c>
      <c r="I84" s="2"/>
      <c r="J84" s="7">
        <f t="shared" si="45"/>
        <v>8.3922764855431722E-3</v>
      </c>
      <c r="K84" s="2"/>
      <c r="L84" s="6">
        <f t="shared" si="46"/>
        <v>-7.8900000000000148</v>
      </c>
      <c r="M84" s="2"/>
      <c r="N84" s="7">
        <f t="shared" si="47"/>
        <v>-5.0066628593184941E-2</v>
      </c>
      <c r="O84" s="11"/>
      <c r="P84" s="6">
        <v>591.66999999999996</v>
      </c>
      <c r="Q84" s="2"/>
      <c r="R84" s="7">
        <f t="shared" si="48"/>
        <v>5.0214421444011517E-3</v>
      </c>
      <c r="S84" s="2"/>
      <c r="T84" s="6">
        <v>585.29999999999995</v>
      </c>
      <c r="U84" s="2"/>
      <c r="V84" s="7">
        <f t="shared" si="49"/>
        <v>6.6194038442529916E-3</v>
      </c>
      <c r="W84" s="2"/>
      <c r="X84" s="6">
        <f t="shared" si="50"/>
        <v>6.3700000000000045</v>
      </c>
      <c r="Y84" s="2"/>
      <c r="Z84" s="7">
        <f t="shared" si="51"/>
        <v>1.0883307705450205E-2</v>
      </c>
    </row>
    <row r="85" spans="1:26" s="24" customFormat="1" hidden="1" outlineLevel="2" x14ac:dyDescent="0.25">
      <c r="A85" s="29"/>
      <c r="B85" s="11" t="str">
        <f>CONCATENATE("          ", "6285", " - ", "JANITORIAL SERVICES")</f>
        <v xml:space="preserve">          6285 - JANITORIAL SERVICES</v>
      </c>
      <c r="C85" s="11"/>
      <c r="D85" s="6">
        <v>13.02</v>
      </c>
      <c r="E85" s="2"/>
      <c r="F85" s="7">
        <f t="shared" si="44"/>
        <v>4.591922026201465E-4</v>
      </c>
      <c r="G85" s="2"/>
      <c r="H85" s="6">
        <v>-60.73</v>
      </c>
      <c r="I85" s="2"/>
      <c r="J85" s="7">
        <f t="shared" si="45"/>
        <v>-3.234107182987733E-3</v>
      </c>
      <c r="K85" s="2"/>
      <c r="L85" s="6">
        <f t="shared" si="46"/>
        <v>73.75</v>
      </c>
      <c r="M85" s="2"/>
      <c r="N85" s="7">
        <f t="shared" si="47"/>
        <v>-1.2143915692409024</v>
      </c>
      <c r="O85" s="11"/>
      <c r="P85" s="6">
        <v>52.08</v>
      </c>
      <c r="Q85" s="2"/>
      <c r="R85" s="7">
        <f t="shared" si="48"/>
        <v>4.419975778396944E-4</v>
      </c>
      <c r="S85" s="2"/>
      <c r="T85" s="6">
        <v>-597.47</v>
      </c>
      <c r="U85" s="2"/>
      <c r="V85" s="7">
        <f t="shared" si="49"/>
        <v>-6.7570394922703498E-3</v>
      </c>
      <c r="W85" s="2"/>
      <c r="X85" s="6">
        <f t="shared" si="50"/>
        <v>649.55000000000007</v>
      </c>
      <c r="Y85" s="2"/>
      <c r="Z85" s="7">
        <f t="shared" si="51"/>
        <v>-1.0871675565300349</v>
      </c>
    </row>
    <row r="86" spans="1:26" s="28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SUM(OSRRefD22_12x_0)</f>
        <v>0</v>
      </c>
      <c r="E86" s="1"/>
      <c r="F86" s="5">
        <f t="shared" ref="F86:F92" si="52">IF(D$12=0,0,D86/D$12)</f>
        <v>0</v>
      </c>
      <c r="G86" s="1"/>
      <c r="H86" s="1">
        <f>SUM(OSRRefH22_12x_0)</f>
        <v>75</v>
      </c>
      <c r="I86" s="1"/>
      <c r="J86" s="5">
        <f t="shared" ref="J86:J92" si="53">IF(H$12=0,0,H86/H$12)</f>
        <v>3.9940398275000819E-3</v>
      </c>
      <c r="K86" s="1"/>
      <c r="L86" s="1">
        <f t="shared" ref="L86:L92" si="54">+D86-H86</f>
        <v>-75</v>
      </c>
      <c r="M86" s="1"/>
      <c r="N86" s="5">
        <f t="shared" ref="N86:N92" si="55">IF(H86=0,0,L86/H86)</f>
        <v>-1</v>
      </c>
      <c r="O86" s="14"/>
      <c r="P86" s="1">
        <f>SUM(OSRRefP22_12x_0)</f>
        <v>0</v>
      </c>
      <c r="Q86" s="1"/>
      <c r="R86" s="5">
        <f t="shared" ref="R86:R92" si="56">IF(P$12=0,0,P86/P$12)</f>
        <v>0</v>
      </c>
      <c r="S86" s="1"/>
      <c r="T86" s="1">
        <f>SUM(OSRRefT22_12x_0)</f>
        <v>150</v>
      </c>
      <c r="U86" s="1"/>
      <c r="V86" s="5">
        <f t="shared" ref="V86:V92" si="57">IF(T$12=0,0,T86/T$12)</f>
        <v>1.6964130815615051E-3</v>
      </c>
      <c r="W86" s="1"/>
      <c r="X86" s="1">
        <f t="shared" ref="X86:X92" si="58">+P86-T86</f>
        <v>-150</v>
      </c>
      <c r="Y86" s="1"/>
      <c r="Z86" s="5">
        <f t="shared" ref="Z86:Z92" si="59">IF(T86=0,0,X86/T86)</f>
        <v>-1</v>
      </c>
    </row>
    <row r="87" spans="1:26" s="24" customFormat="1" hidden="1" outlineLevel="2" x14ac:dyDescent="0.25">
      <c r="A87" s="29"/>
      <c r="B87" s="11" t="str">
        <f>CONCATENATE("          ", "6275", " - ", "SUBSCRIPTIONS")</f>
        <v xml:space="preserve">          6275 - SUBSCRIPTIONS</v>
      </c>
      <c r="C87" s="11"/>
      <c r="D87" s="6"/>
      <c r="E87" s="2"/>
      <c r="F87" s="7">
        <f t="shared" si="52"/>
        <v>0</v>
      </c>
      <c r="G87" s="2"/>
      <c r="H87" s="6">
        <v>75</v>
      </c>
      <c r="I87" s="2"/>
      <c r="J87" s="7">
        <f t="shared" si="53"/>
        <v>3.9940398275000819E-3</v>
      </c>
      <c r="K87" s="2"/>
      <c r="L87" s="6">
        <f t="shared" si="54"/>
        <v>-75</v>
      </c>
      <c r="M87" s="2"/>
      <c r="N87" s="7">
        <f t="shared" si="55"/>
        <v>-1</v>
      </c>
      <c r="O87" s="11"/>
      <c r="P87" s="6"/>
      <c r="Q87" s="2"/>
      <c r="R87" s="7">
        <f t="shared" si="56"/>
        <v>0</v>
      </c>
      <c r="S87" s="2"/>
      <c r="T87" s="6">
        <v>150</v>
      </c>
      <c r="U87" s="2"/>
      <c r="V87" s="7">
        <f t="shared" si="57"/>
        <v>1.6964130815615051E-3</v>
      </c>
      <c r="W87" s="2"/>
      <c r="X87" s="6">
        <f t="shared" si="58"/>
        <v>-150</v>
      </c>
      <c r="Y87" s="2"/>
      <c r="Z87" s="7">
        <f t="shared" si="59"/>
        <v>-1</v>
      </c>
    </row>
    <row r="88" spans="1:26" s="28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SUM(OSRRefD22_13x_0)</f>
        <v>0</v>
      </c>
      <c r="E88" s="1"/>
      <c r="F88" s="5">
        <f t="shared" si="52"/>
        <v>0</v>
      </c>
      <c r="G88" s="1"/>
      <c r="H88" s="1">
        <f>SUM(OSRRefH22_13x_0)</f>
        <v>52.43</v>
      </c>
      <c r="I88" s="1"/>
      <c r="J88" s="5">
        <f t="shared" si="53"/>
        <v>2.7921001087443907E-3</v>
      </c>
      <c r="K88" s="1"/>
      <c r="L88" s="1">
        <f t="shared" si="54"/>
        <v>-52.43</v>
      </c>
      <c r="M88" s="1"/>
      <c r="N88" s="5">
        <f t="shared" si="55"/>
        <v>-1</v>
      </c>
      <c r="O88" s="14"/>
      <c r="P88" s="1">
        <f>SUM(OSRRefP22_13x_0)</f>
        <v>588.73</v>
      </c>
      <c r="Q88" s="1"/>
      <c r="R88" s="5">
        <f t="shared" si="56"/>
        <v>4.9964906682327826E-3</v>
      </c>
      <c r="S88" s="1"/>
      <c r="T88" s="1">
        <f>SUM(OSRRefT22_13x_0)</f>
        <v>462.4</v>
      </c>
      <c r="U88" s="1"/>
      <c r="V88" s="5">
        <f t="shared" si="57"/>
        <v>5.2294760594269324E-3</v>
      </c>
      <c r="W88" s="1"/>
      <c r="X88" s="1">
        <f t="shared" si="58"/>
        <v>126.33000000000004</v>
      </c>
      <c r="Y88" s="1"/>
      <c r="Z88" s="5">
        <f t="shared" si="59"/>
        <v>0.27320501730103819</v>
      </c>
    </row>
    <row r="89" spans="1:26" s="24" customFormat="1" hidden="1" outlineLevel="2" x14ac:dyDescent="0.25">
      <c r="A89" s="29"/>
      <c r="B89" s="11" t="str">
        <f>CONCATENATE("          ", "6235", " - ", "COVID-19 EXPENSES")</f>
        <v xml:space="preserve">          6235 - COVID-19 EXPENSES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/>
      <c r="Q89" s="2"/>
      <c r="R89" s="7">
        <f t="shared" si="56"/>
        <v>0</v>
      </c>
      <c r="S89" s="2"/>
      <c r="T89" s="6">
        <v>265.7</v>
      </c>
      <c r="U89" s="2"/>
      <c r="V89" s="7">
        <f t="shared" si="57"/>
        <v>3.0049130384726124E-3</v>
      </c>
      <c r="W89" s="2"/>
      <c r="X89" s="6">
        <f t="shared" si="58"/>
        <v>-265.7</v>
      </c>
      <c r="Y89" s="2"/>
      <c r="Z89" s="7">
        <f t="shared" si="59"/>
        <v>-1</v>
      </c>
    </row>
    <row r="90" spans="1:26" s="24" customFormat="1" hidden="1" outlineLevel="2" x14ac:dyDescent="0.25">
      <c r="A90" s="29"/>
      <c r="B90" s="11" t="str">
        <f>CONCATENATE("          ", "6237", " - ", "JANITORIAL SUPPLIES")</f>
        <v xml:space="preserve">          6237 - JANITORIAL SUPPLIES</v>
      </c>
      <c r="C90" s="11"/>
      <c r="D90" s="6"/>
      <c r="E90" s="2"/>
      <c r="F90" s="7">
        <f t="shared" si="52"/>
        <v>0</v>
      </c>
      <c r="G90" s="2"/>
      <c r="H90" s="6">
        <v>52.43</v>
      </c>
      <c r="I90" s="2"/>
      <c r="J90" s="7">
        <f t="shared" si="53"/>
        <v>2.7921001087443907E-3</v>
      </c>
      <c r="K90" s="2"/>
      <c r="L90" s="6">
        <f t="shared" si="54"/>
        <v>-52.43</v>
      </c>
      <c r="M90" s="2"/>
      <c r="N90" s="7">
        <f t="shared" si="55"/>
        <v>-1</v>
      </c>
      <c r="O90" s="11"/>
      <c r="P90" s="6">
        <v>77.17</v>
      </c>
      <c r="Q90" s="2"/>
      <c r="R90" s="7">
        <f t="shared" si="56"/>
        <v>6.549338149364289E-4</v>
      </c>
      <c r="S90" s="2"/>
      <c r="T90" s="6">
        <v>191.74</v>
      </c>
      <c r="U90" s="2"/>
      <c r="V90" s="7">
        <f t="shared" si="57"/>
        <v>2.1684682950573533E-3</v>
      </c>
      <c r="W90" s="2"/>
      <c r="X90" s="6">
        <f t="shared" si="58"/>
        <v>-114.57000000000001</v>
      </c>
      <c r="Y90" s="2"/>
      <c r="Z90" s="7">
        <f t="shared" si="59"/>
        <v>-0.59752790236778974</v>
      </c>
    </row>
    <row r="91" spans="1:26" s="24" customFormat="1" hidden="1" outlineLevel="2" x14ac:dyDescent="0.25">
      <c r="A91" s="29"/>
      <c r="B91" s="11" t="str">
        <f>CONCATENATE("          ", "6241", " - ", "OFFICE EXPENSE")</f>
        <v xml:space="preserve">          6241 - OFFICE EXPENSE</v>
      </c>
      <c r="C91" s="11"/>
      <c r="D91" s="6"/>
      <c r="E91" s="2"/>
      <c r="F91" s="7">
        <f t="shared" si="52"/>
        <v>0</v>
      </c>
      <c r="G91" s="2"/>
      <c r="H91" s="6"/>
      <c r="I91" s="2"/>
      <c r="J91" s="7">
        <f t="shared" si="53"/>
        <v>0</v>
      </c>
      <c r="K91" s="2"/>
      <c r="L91" s="6">
        <f t="shared" si="54"/>
        <v>0</v>
      </c>
      <c r="M91" s="2"/>
      <c r="N91" s="7">
        <f t="shared" si="55"/>
        <v>0</v>
      </c>
      <c r="O91" s="11"/>
      <c r="P91" s="6">
        <v>96.24</v>
      </c>
      <c r="Q91" s="2"/>
      <c r="R91" s="7">
        <f t="shared" si="56"/>
        <v>8.1677893416459658E-4</v>
      </c>
      <c r="S91" s="2"/>
      <c r="T91" s="6">
        <v>4.96</v>
      </c>
      <c r="U91" s="2"/>
      <c r="V91" s="7">
        <f t="shared" si="57"/>
        <v>5.6094725896967097E-5</v>
      </c>
      <c r="W91" s="2"/>
      <c r="X91" s="6">
        <f t="shared" si="58"/>
        <v>91.28</v>
      </c>
      <c r="Y91" s="2"/>
      <c r="Z91" s="7">
        <f t="shared" si="59"/>
        <v>18.403225806451612</v>
      </c>
    </row>
    <row r="92" spans="1:26" s="24" customFormat="1" hidden="1" outlineLevel="2" x14ac:dyDescent="0.25">
      <c r="A92" s="29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52"/>
        <v>0</v>
      </c>
      <c r="G92" s="2"/>
      <c r="H92" s="6"/>
      <c r="I92" s="2"/>
      <c r="J92" s="7">
        <f t="shared" si="53"/>
        <v>0</v>
      </c>
      <c r="K92" s="2"/>
      <c r="L92" s="6">
        <f t="shared" si="54"/>
        <v>0</v>
      </c>
      <c r="M92" s="2"/>
      <c r="N92" s="7">
        <f t="shared" si="55"/>
        <v>0</v>
      </c>
      <c r="O92" s="11"/>
      <c r="P92" s="6">
        <v>415.32</v>
      </c>
      <c r="Q92" s="2"/>
      <c r="R92" s="7">
        <f t="shared" si="56"/>
        <v>3.5247779191317566E-3</v>
      </c>
      <c r="S92" s="2"/>
      <c r="T92" s="6"/>
      <c r="U92" s="2"/>
      <c r="V92" s="7">
        <f t="shared" si="57"/>
        <v>0</v>
      </c>
      <c r="W92" s="2"/>
      <c r="X92" s="6">
        <f t="shared" si="58"/>
        <v>415.32</v>
      </c>
      <c r="Y92" s="2"/>
      <c r="Z92" s="7">
        <f t="shared" si="59"/>
        <v>0</v>
      </c>
    </row>
    <row r="93" spans="1:26" s="28" customFormat="1" outlineLevel="1" collapsed="1" x14ac:dyDescent="0.25">
      <c r="A93" s="27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SUM(OSRRefD22_14x_0)</f>
        <v>547.84</v>
      </c>
      <c r="E93" s="1"/>
      <c r="F93" s="5">
        <f t="shared" ref="F93:F98" si="60">IF(D$12=0,0,D93/D$12)</f>
        <v>1.9321340728373354E-2</v>
      </c>
      <c r="G93" s="1"/>
      <c r="H93" s="1">
        <f>SUM(OSRRefH22_14x_0)</f>
        <v>281.48</v>
      </c>
      <c r="I93" s="1"/>
      <c r="J93" s="5">
        <f t="shared" ref="J93:J98" si="61">IF(H$12=0,0,H93/H$12)</f>
        <v>1.4989897741929641E-2</v>
      </c>
      <c r="K93" s="1"/>
      <c r="L93" s="1">
        <f t="shared" ref="L93:L98" si="62">+D93-H93</f>
        <v>266.36</v>
      </c>
      <c r="M93" s="1"/>
      <c r="N93" s="5">
        <f t="shared" ref="N93:N98" si="63">IF(H93=0,0,L93/H93)</f>
        <v>0.94628392781014636</v>
      </c>
      <c r="O93" s="14"/>
      <c r="P93" s="1">
        <f>SUM(OSRRefP22_14x_0)</f>
        <v>1286.3599999999999</v>
      </c>
      <c r="Q93" s="1"/>
      <c r="R93" s="5">
        <f t="shared" ref="R93:R98" si="64">IF(P$12=0,0,P93/P$12)</f>
        <v>1.0917204382293957E-2</v>
      </c>
      <c r="S93" s="1"/>
      <c r="T93" s="1">
        <f>SUM(OSRRefT22_14x_0)</f>
        <v>1352.76</v>
      </c>
      <c r="U93" s="1"/>
      <c r="V93" s="5">
        <f t="shared" ref="V93:V98" si="65">IF(T$12=0,0,T93/T$12)</f>
        <v>1.5298931734754277E-2</v>
      </c>
      <c r="W93" s="1"/>
      <c r="X93" s="1">
        <f t="shared" ref="X93:X98" si="66">+P93-T93</f>
        <v>-66.400000000000091</v>
      </c>
      <c r="Y93" s="1"/>
      <c r="Z93" s="5">
        <f t="shared" ref="Z93:Z98" si="67">IF(T93=0,0,X93/T93)</f>
        <v>-4.9084833969070707E-2</v>
      </c>
    </row>
    <row r="94" spans="1:26" s="24" customFormat="1" hidden="1" outlineLevel="2" x14ac:dyDescent="0.25">
      <c r="A94" s="29"/>
      <c r="B94" s="11" t="str">
        <f>CONCATENATE("          ", "6309", " - ", "TELEPHONE")</f>
        <v xml:space="preserve">          6309 - TELEPHONE</v>
      </c>
      <c r="C94" s="11"/>
      <c r="D94" s="6">
        <v>547.84</v>
      </c>
      <c r="E94" s="2"/>
      <c r="F94" s="7">
        <f t="shared" si="60"/>
        <v>1.9321340728373354E-2</v>
      </c>
      <c r="G94" s="2"/>
      <c r="H94" s="6">
        <v>281.48</v>
      </c>
      <c r="I94" s="2"/>
      <c r="J94" s="7">
        <f t="shared" si="61"/>
        <v>1.4989897741929641E-2</v>
      </c>
      <c r="K94" s="2"/>
      <c r="L94" s="6">
        <f t="shared" si="62"/>
        <v>266.36</v>
      </c>
      <c r="M94" s="2"/>
      <c r="N94" s="7">
        <f t="shared" si="63"/>
        <v>0.94628392781014636</v>
      </c>
      <c r="O94" s="11"/>
      <c r="P94" s="6">
        <v>1286.3599999999999</v>
      </c>
      <c r="Q94" s="2"/>
      <c r="R94" s="7">
        <f t="shared" si="64"/>
        <v>1.0917204382293957E-2</v>
      </c>
      <c r="S94" s="2"/>
      <c r="T94" s="6">
        <v>1352.76</v>
      </c>
      <c r="U94" s="2"/>
      <c r="V94" s="7">
        <f t="shared" si="65"/>
        <v>1.5298931734754277E-2</v>
      </c>
      <c r="W94" s="2"/>
      <c r="X94" s="6">
        <f t="shared" si="66"/>
        <v>-66.400000000000091</v>
      </c>
      <c r="Y94" s="2"/>
      <c r="Z94" s="7">
        <f t="shared" si="67"/>
        <v>-4.9084833969070707E-2</v>
      </c>
    </row>
    <row r="95" spans="1:26" s="28" customFormat="1" outlineLevel="1" collapsed="1" x14ac:dyDescent="0.25">
      <c r="A95" s="27"/>
      <c r="B95" s="14" t="str">
        <f>CONCATENATE("     ","Travel                                            ")</f>
        <v xml:space="preserve">     Travel                                            </v>
      </c>
      <c r="C95" s="14"/>
      <c r="D95" s="1">
        <f>SUM(OSRRefD22_15x_0)</f>
        <v>0</v>
      </c>
      <c r="E95" s="1"/>
      <c r="F95" s="5">
        <f t="shared" si="60"/>
        <v>0</v>
      </c>
      <c r="G95" s="1"/>
      <c r="H95" s="1">
        <f>SUM(OSRRefH22_15x_0)</f>
        <v>80.959999999999994</v>
      </c>
      <c r="I95" s="1"/>
      <c r="J95" s="5">
        <f t="shared" si="61"/>
        <v>4.3114328591254214E-3</v>
      </c>
      <c r="K95" s="1"/>
      <c r="L95" s="1">
        <f t="shared" si="62"/>
        <v>-80.959999999999994</v>
      </c>
      <c r="M95" s="1"/>
      <c r="N95" s="5">
        <f t="shared" si="63"/>
        <v>-1</v>
      </c>
      <c r="O95" s="14"/>
      <c r="P95" s="1">
        <f>SUM(OSRRefP22_15x_0)</f>
        <v>175.21</v>
      </c>
      <c r="Q95" s="1"/>
      <c r="R95" s="5">
        <f t="shared" si="64"/>
        <v>1.4869891630816601E-3</v>
      </c>
      <c r="S95" s="1"/>
      <c r="T95" s="1">
        <f>SUM(OSRRefT22_15x_0)</f>
        <v>321.88</v>
      </c>
      <c r="U95" s="1"/>
      <c r="V95" s="5">
        <f t="shared" si="65"/>
        <v>3.6402762846201148E-3</v>
      </c>
      <c r="W95" s="1"/>
      <c r="X95" s="1">
        <f t="shared" si="66"/>
        <v>-146.66999999999999</v>
      </c>
      <c r="Y95" s="1"/>
      <c r="Z95" s="5">
        <f t="shared" si="67"/>
        <v>-0.4556667080899714</v>
      </c>
    </row>
    <row r="96" spans="1:26" s="24" customFormat="1" hidden="1" outlineLevel="2" x14ac:dyDescent="0.25">
      <c r="A96" s="29"/>
      <c r="B96" s="11" t="str">
        <f>CONCATENATE("          ", "6294", " - ", "TRAVEL OPERATIONAL")</f>
        <v xml:space="preserve">          6294 - TRAVEL OPERATIONAL</v>
      </c>
      <c r="C96" s="11"/>
      <c r="D96" s="6"/>
      <c r="E96" s="2"/>
      <c r="F96" s="7">
        <f t="shared" si="60"/>
        <v>0</v>
      </c>
      <c r="G96" s="2"/>
      <c r="H96" s="6">
        <v>80.959999999999994</v>
      </c>
      <c r="I96" s="2"/>
      <c r="J96" s="7">
        <f t="shared" si="61"/>
        <v>4.3114328591254214E-3</v>
      </c>
      <c r="K96" s="2"/>
      <c r="L96" s="6">
        <f t="shared" si="62"/>
        <v>-80.959999999999994</v>
      </c>
      <c r="M96" s="2"/>
      <c r="N96" s="7">
        <f t="shared" si="63"/>
        <v>-1</v>
      </c>
      <c r="O96" s="11"/>
      <c r="P96" s="6">
        <v>175.21</v>
      </c>
      <c r="Q96" s="2"/>
      <c r="R96" s="7">
        <f t="shared" si="64"/>
        <v>1.4869891630816601E-3</v>
      </c>
      <c r="S96" s="2"/>
      <c r="T96" s="6">
        <v>321.88</v>
      </c>
      <c r="U96" s="2"/>
      <c r="V96" s="7">
        <f t="shared" si="65"/>
        <v>3.6402762846201148E-3</v>
      </c>
      <c r="W96" s="2"/>
      <c r="X96" s="6">
        <f t="shared" si="66"/>
        <v>-146.66999999999999</v>
      </c>
      <c r="Y96" s="2"/>
      <c r="Z96" s="7">
        <f t="shared" si="67"/>
        <v>-0.4556667080899714</v>
      </c>
    </row>
    <row r="97" spans="1:26" s="28" customFormat="1" outlineLevel="1" collapsed="1" x14ac:dyDescent="0.25">
      <c r="A97" s="27"/>
      <c r="B97" s="14" t="str">
        <f>CONCATENATE("     ","Utilities                                         ")</f>
        <v xml:space="preserve">     Utilities                                         </v>
      </c>
      <c r="C97" s="14"/>
      <c r="D97" s="1">
        <f>SUM(OSRRefD22_16x_0)</f>
        <v>38.6</v>
      </c>
      <c r="E97" s="1"/>
      <c r="F97" s="5">
        <f t="shared" si="60"/>
        <v>1.3613532274299274E-3</v>
      </c>
      <c r="G97" s="1"/>
      <c r="H97" s="1">
        <f>SUM(OSRRefH22_16x_0)</f>
        <v>16.05</v>
      </c>
      <c r="I97" s="1"/>
      <c r="J97" s="5">
        <f t="shared" si="61"/>
        <v>8.5472452308501753E-4</v>
      </c>
      <c r="K97" s="1"/>
      <c r="L97" s="1">
        <f t="shared" si="62"/>
        <v>22.55</v>
      </c>
      <c r="M97" s="1"/>
      <c r="N97" s="5">
        <f t="shared" si="63"/>
        <v>1.4049844236760125</v>
      </c>
      <c r="O97" s="14"/>
      <c r="P97" s="1">
        <f>SUM(OSRRefP22_16x_0)</f>
        <v>149.97999999999999</v>
      </c>
      <c r="Q97" s="1"/>
      <c r="R97" s="5">
        <f t="shared" si="64"/>
        <v>1.2728647604530983E-3</v>
      </c>
      <c r="S97" s="1"/>
      <c r="T97" s="1">
        <f>SUM(OSRRefT22_16x_0)</f>
        <v>84.41</v>
      </c>
      <c r="U97" s="1"/>
      <c r="V97" s="5">
        <f t="shared" si="65"/>
        <v>9.5462818809737753E-4</v>
      </c>
      <c r="W97" s="1"/>
      <c r="X97" s="1">
        <f t="shared" si="66"/>
        <v>65.569999999999993</v>
      </c>
      <c r="Y97" s="1"/>
      <c r="Z97" s="5">
        <f t="shared" si="67"/>
        <v>0.77680369624452072</v>
      </c>
    </row>
    <row r="98" spans="1:26" s="24" customFormat="1" hidden="1" outlineLevel="2" x14ac:dyDescent="0.25">
      <c r="A98" s="29"/>
      <c r="B98" s="11" t="str">
        <f>CONCATENATE("          ", "6274", " - ", "UTILITIES")</f>
        <v xml:space="preserve">          6274 - UTILITIES</v>
      </c>
      <c r="C98" s="11"/>
      <c r="D98" s="6">
        <v>38.6</v>
      </c>
      <c r="E98" s="2"/>
      <c r="F98" s="7">
        <f t="shared" si="60"/>
        <v>1.3613532274299274E-3</v>
      </c>
      <c r="G98" s="2"/>
      <c r="H98" s="6">
        <v>16.05</v>
      </c>
      <c r="I98" s="2"/>
      <c r="J98" s="7">
        <f t="shared" si="61"/>
        <v>8.5472452308501753E-4</v>
      </c>
      <c r="K98" s="2"/>
      <c r="L98" s="6">
        <f t="shared" si="62"/>
        <v>22.55</v>
      </c>
      <c r="M98" s="2"/>
      <c r="N98" s="7">
        <f t="shared" si="63"/>
        <v>1.4049844236760125</v>
      </c>
      <c r="O98" s="11"/>
      <c r="P98" s="6">
        <v>149.97999999999999</v>
      </c>
      <c r="Q98" s="2"/>
      <c r="R98" s="7">
        <f t="shared" si="64"/>
        <v>1.2728647604530983E-3</v>
      </c>
      <c r="S98" s="2"/>
      <c r="T98" s="6">
        <v>84.41</v>
      </c>
      <c r="U98" s="2"/>
      <c r="V98" s="7">
        <f t="shared" si="65"/>
        <v>9.5462818809737753E-4</v>
      </c>
      <c r="W98" s="2"/>
      <c r="X98" s="6">
        <f t="shared" si="66"/>
        <v>65.569999999999993</v>
      </c>
      <c r="Y98" s="2"/>
      <c r="Z98" s="7">
        <f t="shared" si="67"/>
        <v>0.77680369624452072</v>
      </c>
    </row>
    <row r="99" spans="1:26" s="56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5" t="s">
        <v>292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6" t="s">
        <v>276</v>
      </c>
      <c r="C102" s="26"/>
      <c r="D102" s="22">
        <f>+D45-D47+D100</f>
        <v>-2512.33</v>
      </c>
      <c r="E102" s="13"/>
      <c r="F102" s="20">
        <f>IF(D$12=0,0,D102/D$12)</f>
        <v>-8.8605402949974849E-2</v>
      </c>
      <c r="G102" s="13"/>
      <c r="H102" s="22">
        <f>+H45-H47+H100</f>
        <v>-11315.929999999997</v>
      </c>
      <c r="I102" s="13"/>
      <c r="J102" s="20">
        <f>IF(H$12=0,0,H102/H$12)</f>
        <v>-0.60261700140270646</v>
      </c>
      <c r="K102" s="15"/>
      <c r="L102" s="22">
        <f>+D102-H102</f>
        <v>8803.5999999999967</v>
      </c>
      <c r="M102" s="15"/>
      <c r="N102" s="20">
        <f>IF(H102=0,0,L102/H102)</f>
        <v>-0.77798289667751563</v>
      </c>
      <c r="O102" s="25"/>
      <c r="P102" s="22">
        <f>+P45-P47+P100</f>
        <v>-4609.1599999999962</v>
      </c>
      <c r="Q102" s="13"/>
      <c r="R102" s="20">
        <f>IF(P$12=0,0,P102/P$12)</f>
        <v>-3.9117464590545395E-2</v>
      </c>
      <c r="S102" s="13"/>
      <c r="T102" s="22">
        <f>+T45-T47+T100</f>
        <v>-32776.100000000006</v>
      </c>
      <c r="U102" s="13"/>
      <c r="V102" s="20">
        <f>IF(T$12=0,0,T102/T$12)</f>
        <v>-0.370678698683787</v>
      </c>
      <c r="W102" s="15"/>
      <c r="X102" s="22">
        <f>+P102-T102</f>
        <v>28166.94000000001</v>
      </c>
      <c r="Y102" s="15"/>
      <c r="Z102" s="20">
        <f>IF(T102=0,0,X102/T102)</f>
        <v>-0.85937436119611565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127</v>
      </c>
      <c r="C104" s="10"/>
      <c r="D104" s="4">
        <v>2545.25</v>
      </c>
      <c r="E104" s="4"/>
      <c r="F104" s="12">
        <f>IF(D$12=0,0,D104/D$12)</f>
        <v>8.9766432697306289E-2</v>
      </c>
      <c r="G104" s="4"/>
      <c r="H104" s="4">
        <v>6252.2</v>
      </c>
      <c r="I104" s="4"/>
      <c r="J104" s="12">
        <f>IF(H$12=0,0,H104/H$12)</f>
        <v>0.33295381079328012</v>
      </c>
      <c r="K104" s="4"/>
      <c r="L104" s="4">
        <f>+D104-H104</f>
        <v>-3706.95</v>
      </c>
      <c r="M104" s="4"/>
      <c r="N104" s="12">
        <f>IF(H104=0,0,L104/H104)</f>
        <v>-0.59290329803909025</v>
      </c>
      <c r="O104" s="10"/>
      <c r="P104" s="4">
        <v>13620.02</v>
      </c>
      <c r="Q104" s="4"/>
      <c r="R104" s="12">
        <f>IF(P$12=0,0,P104/P$12)</f>
        <v>0.11559170219140159</v>
      </c>
      <c r="S104" s="4"/>
      <c r="T104" s="4">
        <v>19154.080000000002</v>
      </c>
      <c r="U104" s="4"/>
      <c r="V104" s="12">
        <f>IF(T$12=0,0,T104/T$12)</f>
        <v>0.21662154584850396</v>
      </c>
      <c r="W104" s="4"/>
      <c r="X104" s="4">
        <f>+P104-T104</f>
        <v>-5534.0600000000013</v>
      </c>
      <c r="Y104" s="4"/>
      <c r="Z104" s="12">
        <f>IF(T104=0,0,X104/T104)</f>
        <v>-0.2889232998922423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125</v>
      </c>
      <c r="C106" s="26"/>
      <c r="D106" s="33">
        <f>+D102-D104</f>
        <v>-5057.58</v>
      </c>
      <c r="E106" s="13"/>
      <c r="F106" s="31">
        <f>IF(D$12=0,0,D106/D$12)</f>
        <v>-0.17837183564728115</v>
      </c>
      <c r="G106" s="13"/>
      <c r="H106" s="33">
        <f>+H102-H104</f>
        <v>-17568.129999999997</v>
      </c>
      <c r="I106" s="13"/>
      <c r="J106" s="31">
        <f>IF(H$12=0,0,H106/H$12)</f>
        <v>-0.9355708121959867</v>
      </c>
      <c r="K106" s="15"/>
      <c r="L106" s="33">
        <f>D106-H106</f>
        <v>12510.549999999997</v>
      </c>
      <c r="M106" s="15"/>
      <c r="N106" s="31">
        <f>IF(H106=0,0,L106/H106)</f>
        <v>-0.71211620132592368</v>
      </c>
      <c r="O106" s="25"/>
      <c r="P106" s="33">
        <f>+P102-P104</f>
        <v>-18229.179999999997</v>
      </c>
      <c r="Q106" s="13"/>
      <c r="R106" s="31">
        <f>IF(P$12=0,0,P106/P$12)</f>
        <v>-0.15470916678194699</v>
      </c>
      <c r="S106" s="13"/>
      <c r="T106" s="33">
        <f>+T102-T104</f>
        <v>-51930.180000000008</v>
      </c>
      <c r="U106" s="13"/>
      <c r="V106" s="31">
        <f>IF(T$12=0,0,T106/T$12)</f>
        <v>-0.58730024453229102</v>
      </c>
      <c r="W106" s="15"/>
      <c r="X106" s="33">
        <f>P106-T106</f>
        <v>33701.000000000015</v>
      </c>
      <c r="Y106" s="15"/>
      <c r="Z106" s="31">
        <f>IF(T106=0,0,X106/T106)</f>
        <v>-0.64896751753989701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6" t="s">
        <v>293</v>
      </c>
      <c r="C109" s="26"/>
      <c r="D109" s="34">
        <f>SUM(D106:D108)</f>
        <v>-5057.58</v>
      </c>
      <c r="E109" s="13"/>
      <c r="F109" s="30">
        <f>IF(D$12=0,0,D109/D$12)</f>
        <v>-0.17837183564728115</v>
      </c>
      <c r="G109" s="13"/>
      <c r="H109" s="34">
        <f>SUM(H106:H108)</f>
        <v>-17568.129999999997</v>
      </c>
      <c r="I109" s="13"/>
      <c r="J109" s="30">
        <f>IF(H$12=0,0,H109/H$12)</f>
        <v>-0.9355708121959867</v>
      </c>
      <c r="K109" s="15"/>
      <c r="L109" s="34">
        <f>+D109-H109</f>
        <v>12510.549999999997</v>
      </c>
      <c r="M109" s="15"/>
      <c r="N109" s="30">
        <f>IF(H109=0,0,L109/H109)</f>
        <v>-0.71211620132592368</v>
      </c>
      <c r="O109" s="25"/>
      <c r="P109" s="34">
        <f>SUM(P106:P108)</f>
        <v>-18229.179999999997</v>
      </c>
      <c r="Q109" s="13"/>
      <c r="R109" s="30">
        <f>IF(P$12=0,0,P109/P$12)</f>
        <v>-0.15470916678194699</v>
      </c>
      <c r="S109" s="13"/>
      <c r="T109" s="34">
        <f>SUM(T106:T108)</f>
        <v>-51930.180000000008</v>
      </c>
      <c r="U109" s="13"/>
      <c r="V109" s="30">
        <f>IF(T$12=0,0,T109/T$12)</f>
        <v>-0.58730024453229102</v>
      </c>
      <c r="W109" s="15"/>
      <c r="X109" s="34">
        <f>+P109-T109</f>
        <v>33701.000000000015</v>
      </c>
      <c r="Y109" s="15"/>
      <c r="Z109" s="30">
        <f>IF(T109=0,0,X109/T109)</f>
        <v>-0.64896751753989701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1">
        <v>44517.967041516204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7" t="s">
        <v>56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8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SUM(0)</f>
        <v>0</v>
      </c>
      <c r="E18" s="21"/>
      <c r="F18" s="36">
        <f>IF(D$12=0,0,D18/D$12)</f>
        <v>0</v>
      </c>
      <c r="G18" s="21"/>
      <c r="H18" s="21">
        <f>SUM(0)</f>
        <v>0</v>
      </c>
      <c r="I18" s="21"/>
      <c r="J18" s="36">
        <f>IF(H$12=0,0,H18/H$12)</f>
        <v>0</v>
      </c>
      <c r="K18" s="4"/>
      <c r="L18" s="21">
        <f>+D18-H18</f>
        <v>0</v>
      </c>
      <c r="M18" s="4"/>
      <c r="N18" s="36">
        <f>IF(H18=0,0,L18/H18)</f>
        <v>0</v>
      </c>
      <c r="O18" s="10"/>
      <c r="P18" s="21">
        <f>SUM(0)</f>
        <v>0</v>
      </c>
      <c r="Q18" s="21"/>
      <c r="R18" s="36">
        <f>IF(P$12=0,0,P18/P$12)</f>
        <v>0</v>
      </c>
      <c r="S18" s="21"/>
      <c r="T18" s="21">
        <f>SUM(0)</f>
        <v>0</v>
      </c>
      <c r="U18" s="21"/>
      <c r="V18" s="36">
        <f>IF(T$12=0,0,T18/T$12)</f>
        <v>0</v>
      </c>
      <c r="W18" s="4"/>
      <c r="X18" s="21">
        <f>+P18-T18</f>
        <v>0</v>
      </c>
      <c r="Y18" s="4"/>
      <c r="Z18" s="36">
        <f>IF(T18=0,0,X18/T18)</f>
        <v>0</v>
      </c>
    </row>
    <row r="19" spans="1:26" s="56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276</v>
      </c>
      <c r="C22" s="26"/>
      <c r="D22" s="22">
        <f>+D16-D18+D20</f>
        <v>0</v>
      </c>
      <c r="E22" s="13"/>
      <c r="F22" s="20">
        <f>IF(D$12=0,0,D22/D$12)</f>
        <v>0</v>
      </c>
      <c r="G22" s="13"/>
      <c r="H22" s="22">
        <f>+H16-H18+H20</f>
        <v>0</v>
      </c>
      <c r="I22" s="13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5"/>
      <c r="P22" s="22">
        <f>+P16-P18+P20</f>
        <v>0</v>
      </c>
      <c r="Q22" s="13"/>
      <c r="R22" s="20">
        <f>IF(P$12=0,0,P22/P$12)</f>
        <v>0</v>
      </c>
      <c r="S22" s="13"/>
      <c r="T22" s="22">
        <f>+T16-T18+T20</f>
        <v>0</v>
      </c>
      <c r="U22" s="13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125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5"/>
      <c r="L26" s="33">
        <f>D26-H26</f>
        <v>0</v>
      </c>
      <c r="M26" s="15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5"/>
      <c r="X26" s="33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183</v>
      </c>
      <c r="C28" s="10"/>
      <c r="D28" s="4">
        <f>--337591.35</f>
        <v>337591.35</v>
      </c>
      <c r="E28" s="4"/>
      <c r="F28" s="12">
        <f t="shared" ref="F28:F29" si="0">IF(D$12=0,0,D28/D$12)</f>
        <v>0</v>
      </c>
      <c r="G28" s="4"/>
      <c r="H28" s="4">
        <f>-139066.28</f>
        <v>-139066.28</v>
      </c>
      <c r="I28" s="4"/>
      <c r="J28" s="12">
        <f t="shared" ref="J28:J29" si="1">IF(H$12=0,0,H28/H$12)</f>
        <v>0</v>
      </c>
      <c r="K28" s="4"/>
      <c r="L28" s="4">
        <f t="shared" ref="L28:L29" si="2">+D28-H28</f>
        <v>476657.63</v>
      </c>
      <c r="M28" s="4"/>
      <c r="N28" s="12">
        <f t="shared" ref="N28:N29" si="3">IF(H28=0,0,L28/H28)</f>
        <v>-3.4275572050967353</v>
      </c>
      <c r="O28" s="10"/>
      <c r="P28" s="4">
        <f>--117981.78</f>
        <v>117981.78</v>
      </c>
      <c r="Q28" s="4"/>
      <c r="R28" s="12">
        <f t="shared" ref="R28:R29" si="4">IF(P$12=0,0,P28/P$12)</f>
        <v>0</v>
      </c>
      <c r="S28" s="4"/>
      <c r="T28" s="4">
        <f>--580692.78</f>
        <v>580692.78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-462711</v>
      </c>
      <c r="Y28" s="4"/>
      <c r="Z28" s="12">
        <f t="shared" ref="Z28:Z29" si="7">IF(T28=0,0,X28/T28)</f>
        <v>-0.79682581898125193</v>
      </c>
    </row>
    <row r="29" spans="1:26" s="23" customFormat="1" x14ac:dyDescent="0.25">
      <c r="A29" s="51"/>
      <c r="B29" s="10" t="s">
        <v>81</v>
      </c>
      <c r="C29" s="10"/>
      <c r="D29" s="4">
        <f>--10527.25</f>
        <v>10527.25</v>
      </c>
      <c r="E29" s="4"/>
      <c r="F29" s="12">
        <f t="shared" si="0"/>
        <v>0</v>
      </c>
      <c r="G29" s="4"/>
      <c r="H29" s="4">
        <f>--10141.14</f>
        <v>10141.14</v>
      </c>
      <c r="I29" s="4"/>
      <c r="J29" s="12">
        <f t="shared" si="1"/>
        <v>0</v>
      </c>
      <c r="K29" s="4"/>
      <c r="L29" s="4">
        <f t="shared" si="2"/>
        <v>386.11000000000058</v>
      </c>
      <c r="M29" s="4"/>
      <c r="N29" s="12">
        <f t="shared" si="3"/>
        <v>3.8073628803073481E-2</v>
      </c>
      <c r="O29" s="10"/>
      <c r="P29" s="4">
        <f>--47856.03</f>
        <v>47856.03</v>
      </c>
      <c r="Q29" s="4"/>
      <c r="R29" s="12">
        <f t="shared" si="4"/>
        <v>0</v>
      </c>
      <c r="S29" s="4"/>
      <c r="T29" s="4">
        <f>-23119.82</f>
        <v>-23119.82</v>
      </c>
      <c r="U29" s="4"/>
      <c r="V29" s="12">
        <f t="shared" si="5"/>
        <v>0</v>
      </c>
      <c r="W29" s="4"/>
      <c r="X29" s="4">
        <f t="shared" si="6"/>
        <v>70975.850000000006</v>
      </c>
      <c r="Y29" s="4"/>
      <c r="Z29" s="12">
        <f t="shared" si="7"/>
        <v>-3.0699136065938233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293</v>
      </c>
      <c r="C31" s="26"/>
      <c r="D31" s="34">
        <f>SUM(D26:D30)</f>
        <v>348118.6</v>
      </c>
      <c r="E31" s="13"/>
      <c r="F31" s="30">
        <f>IF(D$12=0,0,D31/D$12)</f>
        <v>0</v>
      </c>
      <c r="G31" s="13"/>
      <c r="H31" s="34">
        <f>SUM(H26:H30)</f>
        <v>-128925.14</v>
      </c>
      <c r="I31" s="13"/>
      <c r="J31" s="30">
        <f>IF(H$12=0,0,H31/H$12)</f>
        <v>0</v>
      </c>
      <c r="K31" s="15"/>
      <c r="L31" s="34">
        <f>+D31-H31</f>
        <v>477043.74</v>
      </c>
      <c r="M31" s="15"/>
      <c r="N31" s="30">
        <f>IF(H31=0,0,L31/H31)</f>
        <v>-3.7001607289315332</v>
      </c>
      <c r="O31" s="25"/>
      <c r="P31" s="34">
        <f>SUM(P26:P30)</f>
        <v>165837.81</v>
      </c>
      <c r="Q31" s="13"/>
      <c r="R31" s="30">
        <f>IF(P$12=0,0,P31/P$12)</f>
        <v>0</v>
      </c>
      <c r="S31" s="13"/>
      <c r="T31" s="34">
        <f>SUM(T26:T30)</f>
        <v>557572.96000000008</v>
      </c>
      <c r="U31" s="13"/>
      <c r="V31" s="30">
        <f>IF(T$12=0,0,T31/T$12)</f>
        <v>0</v>
      </c>
      <c r="W31" s="15"/>
      <c r="X31" s="34">
        <f>+P31-T31</f>
        <v>-391735.15000000008</v>
      </c>
      <c r="Y31" s="15"/>
      <c r="Z31" s="30">
        <f>IF(T31=0,0,X31/T31)</f>
        <v>-0.70257200062212488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1">
        <v>44517.967009687498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7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9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124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9408.2899999999991</v>
      </c>
      <c r="E12" s="4"/>
      <c r="F12" s="12"/>
      <c r="G12" s="4"/>
      <c r="H12" s="4">
        <f>SUM(OSRRefH13x_0)</f>
        <v>10497.909999999998</v>
      </c>
      <c r="I12" s="4"/>
      <c r="J12" s="12"/>
      <c r="K12" s="4"/>
      <c r="L12" s="4">
        <f t="shared" ref="L12:L23" si="0">+D12-H12</f>
        <v>-1089.619999999999</v>
      </c>
      <c r="M12" s="4"/>
      <c r="N12" s="12">
        <f t="shared" ref="N12:N23" si="1">IF(H12=0,0,L12/H12)</f>
        <v>-0.1037939932805672</v>
      </c>
      <c r="O12" s="10"/>
      <c r="P12" s="4">
        <f>SUM(OSRRefP13x_0)</f>
        <v>84420.87000000001</v>
      </c>
      <c r="Q12" s="4"/>
      <c r="R12" s="12"/>
      <c r="S12" s="4"/>
      <c r="T12" s="4">
        <f>SUM(OSRRefT13x_0)</f>
        <v>71975.009999999995</v>
      </c>
      <c r="U12" s="4"/>
      <c r="V12" s="12"/>
      <c r="W12" s="4"/>
      <c r="X12" s="4">
        <f t="shared" ref="X12:X23" si="2">+P12-T12</f>
        <v>12445.860000000015</v>
      </c>
      <c r="Y12" s="4"/>
      <c r="Z12" s="12">
        <f t="shared" ref="Z12:Z23" si="3">IF(T12=0,0,X12/T12)</f>
        <v>0.17291918403345849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--4122.58</f>
        <v>4122.58</v>
      </c>
      <c r="E13" s="2"/>
      <c r="F13" s="19"/>
      <c r="G13" s="2"/>
      <c r="H13" s="2">
        <f>-1.35</f>
        <v>-1.35</v>
      </c>
      <c r="I13" s="2"/>
      <c r="J13" s="19"/>
      <c r="K13" s="2"/>
      <c r="L13" s="2">
        <f t="shared" si="0"/>
        <v>4123.93</v>
      </c>
      <c r="M13" s="2"/>
      <c r="N13" s="19">
        <f t="shared" si="1"/>
        <v>-3054.7629629629628</v>
      </c>
      <c r="O13" s="11"/>
      <c r="P13" s="2">
        <f>--70564.24</f>
        <v>70564.240000000005</v>
      </c>
      <c r="Q13" s="2"/>
      <c r="R13" s="19"/>
      <c r="S13" s="2"/>
      <c r="T13" s="2">
        <f>-8.65</f>
        <v>-8.65</v>
      </c>
      <c r="U13" s="2"/>
      <c r="V13" s="19"/>
      <c r="W13" s="2"/>
      <c r="X13" s="2">
        <f t="shared" si="2"/>
        <v>70572.89</v>
      </c>
      <c r="Y13" s="2"/>
      <c r="Z13" s="19">
        <f t="shared" si="3"/>
        <v>-8158.7156069364155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--8147.55</f>
        <v>8147.55</v>
      </c>
      <c r="I14" s="2"/>
      <c r="J14" s="19"/>
      <c r="K14" s="2"/>
      <c r="L14" s="2">
        <f t="shared" si="0"/>
        <v>-8147.55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--60369.32</f>
        <v>60369.32</v>
      </c>
      <c r="U14" s="2"/>
      <c r="V14" s="19"/>
      <c r="W14" s="2"/>
      <c r="X14" s="2">
        <f t="shared" si="2"/>
        <v>-60369.32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--2053.86</f>
        <v>2053.86</v>
      </c>
      <c r="I15" s="2"/>
      <c r="J15" s="19"/>
      <c r="K15" s="2"/>
      <c r="L15" s="2">
        <f t="shared" si="0"/>
        <v>-2053.86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--11487.58</f>
        <v>11487.58</v>
      </c>
      <c r="U15" s="2"/>
      <c r="V15" s="19"/>
      <c r="W15" s="2"/>
      <c r="X15" s="2">
        <f t="shared" si="2"/>
        <v>-11487.58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--7.98</f>
        <v>7.98</v>
      </c>
      <c r="U16" s="2"/>
      <c r="V16" s="19"/>
      <c r="W16" s="2"/>
      <c r="X16" s="2">
        <f t="shared" si="2"/>
        <v>-7.98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--13252.81</f>
        <v>13252.81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13252.81</v>
      </c>
      <c r="M17" s="2"/>
      <c r="N17" s="19">
        <f t="shared" si="1"/>
        <v>0</v>
      </c>
      <c r="O17" s="11"/>
      <c r="P17" s="2">
        <f>--14259.63</f>
        <v>14259.63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14259.63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-460.55</f>
        <v>-460.55</v>
      </c>
      <c r="E18" s="2"/>
      <c r="F18" s="19"/>
      <c r="G18" s="2"/>
      <c r="H18" s="2">
        <f>--54</f>
        <v>54</v>
      </c>
      <c r="I18" s="2"/>
      <c r="J18" s="19"/>
      <c r="K18" s="2"/>
      <c r="L18" s="2">
        <f t="shared" si="0"/>
        <v>-514.54999999999995</v>
      </c>
      <c r="M18" s="2"/>
      <c r="N18" s="19">
        <f t="shared" si="1"/>
        <v>-9.5287037037037035</v>
      </c>
      <c r="O18" s="11"/>
      <c r="P18" s="2">
        <f t="shared" ref="P18:P21" si="7">0</f>
        <v>0</v>
      </c>
      <c r="Q18" s="2"/>
      <c r="R18" s="19"/>
      <c r="S18" s="2"/>
      <c r="T18" s="2">
        <f>--511.5</f>
        <v>511.5</v>
      </c>
      <c r="U18" s="2"/>
      <c r="V18" s="19"/>
      <c r="W18" s="2"/>
      <c r="X18" s="2">
        <f t="shared" si="2"/>
        <v>-511.5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--245</f>
        <v>245</v>
      </c>
      <c r="I19" s="2"/>
      <c r="J19" s="19"/>
      <c r="K19" s="2"/>
      <c r="L19" s="2">
        <f t="shared" si="0"/>
        <v>-245</v>
      </c>
      <c r="M19" s="2"/>
      <c r="N19" s="19">
        <f t="shared" si="1"/>
        <v>-1</v>
      </c>
      <c r="O19" s="11"/>
      <c r="P19" s="2">
        <f t="shared" si="7"/>
        <v>0</v>
      </c>
      <c r="Q19" s="2"/>
      <c r="R19" s="19"/>
      <c r="S19" s="2"/>
      <c r="T19" s="2">
        <f>--250.98</f>
        <v>250.98</v>
      </c>
      <c r="U19" s="2"/>
      <c r="V19" s="19"/>
      <c r="W19" s="2"/>
      <c r="X19" s="2">
        <f t="shared" si="2"/>
        <v>-250.98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-7492.95</f>
        <v>-7492.95</v>
      </c>
      <c r="E20" s="2"/>
      <c r="F20" s="19"/>
      <c r="G20" s="2"/>
      <c r="H20" s="2">
        <f>--21.3</f>
        <v>21.3</v>
      </c>
      <c r="I20" s="2"/>
      <c r="J20" s="19"/>
      <c r="K20" s="2"/>
      <c r="L20" s="2">
        <f t="shared" si="0"/>
        <v>-7514.25</v>
      </c>
      <c r="M20" s="2"/>
      <c r="N20" s="19">
        <f t="shared" si="1"/>
        <v>-352.78169014084506</v>
      </c>
      <c r="O20" s="11"/>
      <c r="P20" s="2">
        <f t="shared" si="7"/>
        <v>0</v>
      </c>
      <c r="Q20" s="2"/>
      <c r="R20" s="19"/>
      <c r="S20" s="2"/>
      <c r="T20" s="2">
        <f t="shared" ref="T20:T21" si="8">--86.5</f>
        <v>86.5</v>
      </c>
      <c r="U20" s="2"/>
      <c r="V20" s="19"/>
      <c r="W20" s="2"/>
      <c r="X20" s="2">
        <f t="shared" si="2"/>
        <v>-86.5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0</f>
        <v>0</v>
      </c>
      <c r="E21" s="2"/>
      <c r="F21" s="19"/>
      <c r="G21" s="2"/>
      <c r="H21" s="2">
        <f>--38.5</f>
        <v>38.5</v>
      </c>
      <c r="I21" s="2"/>
      <c r="J21" s="19"/>
      <c r="K21" s="2"/>
      <c r="L21" s="2">
        <f t="shared" si="0"/>
        <v>-38.5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 t="shared" si="8"/>
        <v>86.5</v>
      </c>
      <c r="U21" s="2"/>
      <c r="V21" s="19"/>
      <c r="W21" s="2"/>
      <c r="X21" s="2">
        <f t="shared" si="2"/>
        <v>-86.5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-13.6</f>
        <v>-13.6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-13.6</v>
      </c>
      <c r="M22" s="2"/>
      <c r="N22" s="19">
        <f t="shared" si="1"/>
        <v>0</v>
      </c>
      <c r="O22" s="11"/>
      <c r="P22" s="2">
        <f>-403</f>
        <v>-403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-403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0</f>
        <v>0</v>
      </c>
      <c r="E23" s="2"/>
      <c r="F23" s="19"/>
      <c r="G23" s="2"/>
      <c r="H23" s="2">
        <f>-60.95</f>
        <v>-60.95</v>
      </c>
      <c r="I23" s="2"/>
      <c r="J23" s="19"/>
      <c r="K23" s="2"/>
      <c r="L23" s="2">
        <f t="shared" si="0"/>
        <v>60.95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-816.7</f>
        <v>-816.7</v>
      </c>
      <c r="U23" s="2"/>
      <c r="V23" s="19"/>
      <c r="W23" s="2"/>
      <c r="X23" s="2">
        <f t="shared" si="2"/>
        <v>816.7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256</v>
      </c>
      <c r="C25" s="10"/>
      <c r="D25" s="4">
        <f>SUM(OSRRefD16x_0)</f>
        <v>0</v>
      </c>
      <c r="E25" s="4"/>
      <c r="F25" s="12">
        <f t="shared" ref="F25:F27" si="9">IF(D$12=0,0,D25/D$12)</f>
        <v>0</v>
      </c>
      <c r="G25" s="4"/>
      <c r="H25" s="4">
        <f>SUM(OSRRefH16x_0)</f>
        <v>0</v>
      </c>
      <c r="I25" s="4"/>
      <c r="J25" s="12">
        <f t="shared" ref="J25:J27" si="10">IF(H$12=0,0,H25/H$12)</f>
        <v>0</v>
      </c>
      <c r="K25" s="4"/>
      <c r="L25" s="4">
        <f t="shared" ref="L25:L27" si="11">+D25-H25</f>
        <v>0</v>
      </c>
      <c r="M25" s="4"/>
      <c r="N25" s="12">
        <f t="shared" ref="N25:N27" si="12">IF(H25=0,0,L25/H25)</f>
        <v>0</v>
      </c>
      <c r="O25" s="10"/>
      <c r="P25" s="4">
        <f>SUM(OSRRefP16x_0)</f>
        <v>0</v>
      </c>
      <c r="Q25" s="4"/>
      <c r="R25" s="12">
        <f t="shared" ref="R25:R27" si="13">IF(P$12=0,0,P25/P$12)</f>
        <v>0</v>
      </c>
      <c r="S25" s="4"/>
      <c r="T25" s="4">
        <f>SUM(OSRRefT16x_0)</f>
        <v>0</v>
      </c>
      <c r="U25" s="4"/>
      <c r="V25" s="12">
        <f t="shared" ref="V25:V27" si="14">IF(T$12=0,0,T25/T$12)</f>
        <v>0</v>
      </c>
      <c r="W25" s="4"/>
      <c r="X25" s="4">
        <f t="shared" ref="X25:X27" si="15">+P25-T25</f>
        <v>0</v>
      </c>
      <c r="Y25" s="4"/>
      <c r="Z25" s="12">
        <f t="shared" ref="Z25:Z27" si="16">IF(T25=0,0,X25/T25)</f>
        <v>0</v>
      </c>
    </row>
    <row r="26" spans="1:26" s="24" customFormat="1" hidden="1" outlineLevel="1" x14ac:dyDescent="0.25">
      <c r="A26" s="44"/>
      <c r="B26" s="11" t="str">
        <f>CONCATENATE("          ", "5092", " - ", "PURCHASES @ COST-GRAD MERCH")</f>
        <v xml:space="preserve">          5092 - PURCHASES @ COST-GRAD MERCH</v>
      </c>
      <c r="C26" s="11"/>
      <c r="D26" s="2"/>
      <c r="E26" s="2"/>
      <c r="F26" s="19">
        <f t="shared" si="9"/>
        <v>0</v>
      </c>
      <c r="G26" s="2"/>
      <c r="H26" s="2"/>
      <c r="I26" s="2"/>
      <c r="J26" s="19">
        <f t="shared" si="10"/>
        <v>0</v>
      </c>
      <c r="K26" s="2"/>
      <c r="L26" s="2">
        <f t="shared" si="11"/>
        <v>0</v>
      </c>
      <c r="M26" s="2"/>
      <c r="N26" s="19">
        <f t="shared" si="12"/>
        <v>0</v>
      </c>
      <c r="O26" s="11"/>
      <c r="P26" s="2"/>
      <c r="Q26" s="2"/>
      <c r="R26" s="19">
        <f t="shared" si="13"/>
        <v>0</v>
      </c>
      <c r="S26" s="2"/>
      <c r="T26" s="2">
        <v>0</v>
      </c>
      <c r="U26" s="2"/>
      <c r="V26" s="19">
        <f t="shared" si="14"/>
        <v>0</v>
      </c>
      <c r="W26" s="2"/>
      <c r="X26" s="2">
        <f t="shared" si="15"/>
        <v>0</v>
      </c>
      <c r="Y26" s="2"/>
      <c r="Z26" s="19">
        <f t="shared" si="16"/>
        <v>0</v>
      </c>
    </row>
    <row r="27" spans="1:26" s="24" customFormat="1" hidden="1" outlineLevel="1" x14ac:dyDescent="0.25">
      <c r="A27" s="44"/>
      <c r="B27" s="11" t="str">
        <f>CONCATENATE("          ", "5592", " - ", "FREIGHT-IN-GRAD MERCH")</f>
        <v xml:space="preserve">          5592 - FREIGHT-IN-GRAD MERCH</v>
      </c>
      <c r="C27" s="11"/>
      <c r="D27" s="2"/>
      <c r="E27" s="2"/>
      <c r="F27" s="19">
        <f t="shared" si="9"/>
        <v>0</v>
      </c>
      <c r="G27" s="2"/>
      <c r="H27" s="2"/>
      <c r="I27" s="2"/>
      <c r="J27" s="19">
        <f t="shared" si="10"/>
        <v>0</v>
      </c>
      <c r="K27" s="2"/>
      <c r="L27" s="2">
        <f t="shared" si="11"/>
        <v>0</v>
      </c>
      <c r="M27" s="2"/>
      <c r="N27" s="19">
        <f t="shared" si="12"/>
        <v>0</v>
      </c>
      <c r="O27" s="11"/>
      <c r="P27" s="2"/>
      <c r="Q27" s="2"/>
      <c r="R27" s="19">
        <f t="shared" si="13"/>
        <v>0</v>
      </c>
      <c r="S27" s="2"/>
      <c r="T27" s="2">
        <v>0</v>
      </c>
      <c r="U27" s="2"/>
      <c r="V27" s="19">
        <f t="shared" si="14"/>
        <v>0</v>
      </c>
      <c r="W27" s="2"/>
      <c r="X27" s="2">
        <f t="shared" si="15"/>
        <v>0</v>
      </c>
      <c r="Y27" s="2"/>
      <c r="Z27" s="19">
        <f t="shared" si="16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6" t="s">
        <v>107</v>
      </c>
      <c r="C29" s="26"/>
      <c r="D29" s="22">
        <f>D12-D25</f>
        <v>9408.2899999999991</v>
      </c>
      <c r="E29" s="13"/>
      <c r="F29" s="20">
        <f>IF(D$12=0,0,D29/D$12)</f>
        <v>1</v>
      </c>
      <c r="G29" s="13"/>
      <c r="H29" s="22">
        <f>H12-H25</f>
        <v>10497.909999999998</v>
      </c>
      <c r="I29" s="13"/>
      <c r="J29" s="20">
        <f>IF(H$12=0,0,H29/H$12)</f>
        <v>1</v>
      </c>
      <c r="K29" s="15"/>
      <c r="L29" s="22">
        <f>+D29-H29</f>
        <v>-1089.619999999999</v>
      </c>
      <c r="M29" s="15"/>
      <c r="N29" s="20">
        <f>IF(H29=0,0,L29/H29)</f>
        <v>-0.1037939932805672</v>
      </c>
      <c r="O29" s="25"/>
      <c r="P29" s="22">
        <f>P12-P25</f>
        <v>84420.87000000001</v>
      </c>
      <c r="Q29" s="13"/>
      <c r="R29" s="20">
        <f>IF(P$12=0,0,P29/P$12)</f>
        <v>1</v>
      </c>
      <c r="S29" s="13"/>
      <c r="T29" s="22">
        <f>T12-T25</f>
        <v>71975.009999999995</v>
      </c>
      <c r="U29" s="13"/>
      <c r="V29" s="20">
        <f>IF(T$12=0,0,T29/T$12)</f>
        <v>1</v>
      </c>
      <c r="W29" s="15"/>
      <c r="X29" s="22">
        <f>+P29-T29</f>
        <v>12445.860000000015</v>
      </c>
      <c r="Y29" s="15"/>
      <c r="Z29" s="20">
        <f>IF(T29=0,0,X29/T29)</f>
        <v>0.17291918403345849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5" t="s">
        <v>294</v>
      </c>
      <c r="C31" s="10"/>
      <c r="D31" s="21">
        <f>SUM(OSRRefD22x_0)</f>
        <v>23303.37</v>
      </c>
      <c r="E31" s="21"/>
      <c r="F31" s="36">
        <f t="shared" ref="F31:F40" si="17">IF(D$12=0,0,D31/D$12)</f>
        <v>2.4768975020965556</v>
      </c>
      <c r="G31" s="21"/>
      <c r="H31" s="21">
        <f>SUM(OSRRefH22x_0)</f>
        <v>83949.309999999983</v>
      </c>
      <c r="I31" s="21"/>
      <c r="J31" s="36">
        <f t="shared" ref="J31:J40" si="18">IF(H$12=0,0,H31/H$12)</f>
        <v>7.9967641178101161</v>
      </c>
      <c r="K31" s="4"/>
      <c r="L31" s="21">
        <f t="shared" ref="L31:L40" si="19">+D31-H31</f>
        <v>-60645.939999999988</v>
      </c>
      <c r="M31" s="4"/>
      <c r="N31" s="36">
        <f t="shared" ref="N31:N40" si="20">IF(H31=0,0,L31/H31)</f>
        <v>-0.72241141708014034</v>
      </c>
      <c r="O31" s="10"/>
      <c r="P31" s="21">
        <f>SUM(OSRRefP22x_0)</f>
        <v>113364.47</v>
      </c>
      <c r="Q31" s="21"/>
      <c r="R31" s="36">
        <f t="shared" ref="R31:R40" si="21">IF(P$12=0,0,P31/P$12)</f>
        <v>1.3428488713750519</v>
      </c>
      <c r="S31" s="21"/>
      <c r="T31" s="21">
        <f>SUM(OSRRefT22x_0)</f>
        <v>121005.69000000002</v>
      </c>
      <c r="U31" s="21"/>
      <c r="V31" s="36">
        <f t="shared" ref="V31:V40" si="22">IF(T$12=0,0,T31/T$12)</f>
        <v>1.6812181061176654</v>
      </c>
      <c r="W31" s="4"/>
      <c r="X31" s="21">
        <f t="shared" ref="X31:X40" si="23">+P31-T31</f>
        <v>-7641.2200000000157</v>
      </c>
      <c r="Y31" s="4"/>
      <c r="Z31" s="36">
        <f t="shared" ref="Z31:Z40" si="24">IF(T31=0,0,X31/T31)</f>
        <v>-6.314760900913019E-2</v>
      </c>
    </row>
    <row r="32" spans="1:26" s="28" customFormat="1" outlineLevel="1" collapsed="1" x14ac:dyDescent="0.25">
      <c r="A32" s="27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10120.960000000001</v>
      </c>
      <c r="E32" s="1"/>
      <c r="F32" s="5">
        <f t="shared" si="17"/>
        <v>1.0757491531404753</v>
      </c>
      <c r="G32" s="1"/>
      <c r="H32" s="1">
        <f>SUM(OSRRefH22_0x_0)</f>
        <v>10414.129999999999</v>
      </c>
      <c r="I32" s="1"/>
      <c r="J32" s="5">
        <f t="shared" si="18"/>
        <v>0.99201936385432921</v>
      </c>
      <c r="K32" s="1"/>
      <c r="L32" s="1">
        <f t="shared" si="19"/>
        <v>-293.16999999999825</v>
      </c>
      <c r="M32" s="1"/>
      <c r="N32" s="5">
        <f t="shared" si="20"/>
        <v>-2.8151175374226966E-2</v>
      </c>
      <c r="O32" s="14"/>
      <c r="P32" s="1">
        <f>SUM(OSRRefP22_0x_0)</f>
        <v>36420.71</v>
      </c>
      <c r="Q32" s="1"/>
      <c r="R32" s="5">
        <f t="shared" si="21"/>
        <v>0.43141832108576939</v>
      </c>
      <c r="S32" s="1"/>
      <c r="T32" s="1">
        <f>SUM(OSRRefT22_0x_0)</f>
        <v>36273.040000000001</v>
      </c>
      <c r="U32" s="1"/>
      <c r="V32" s="5">
        <f t="shared" si="22"/>
        <v>0.50396714081734761</v>
      </c>
      <c r="W32" s="1"/>
      <c r="X32" s="1">
        <f t="shared" si="23"/>
        <v>147.66999999999825</v>
      </c>
      <c r="Y32" s="1"/>
      <c r="Z32" s="5">
        <f t="shared" si="24"/>
        <v>4.0710676579630012E-3</v>
      </c>
    </row>
    <row r="33" spans="1:26" s="24" customFormat="1" hidden="1" outlineLevel="2" x14ac:dyDescent="0.25">
      <c r="A33" s="29"/>
      <c r="B33" s="11" t="str">
        <f>CONCATENATE("          ", "6111", " - ", "F.I.C.A.")</f>
        <v xml:space="preserve">          6111 - F.I.C.A.</v>
      </c>
      <c r="C33" s="11"/>
      <c r="D33" s="6">
        <v>1811.85</v>
      </c>
      <c r="E33" s="2"/>
      <c r="F33" s="7">
        <f t="shared" si="17"/>
        <v>0.19258016068807404</v>
      </c>
      <c r="G33" s="2"/>
      <c r="H33" s="6">
        <v>2004</v>
      </c>
      <c r="I33" s="2"/>
      <c r="J33" s="7">
        <f t="shared" si="18"/>
        <v>0.19089514008026362</v>
      </c>
      <c r="K33" s="2"/>
      <c r="L33" s="6">
        <f t="shared" si="19"/>
        <v>-192.15000000000009</v>
      </c>
      <c r="M33" s="2"/>
      <c r="N33" s="7">
        <f t="shared" si="20"/>
        <v>-9.5883233532934181E-2</v>
      </c>
      <c r="O33" s="11"/>
      <c r="P33" s="6">
        <v>5691.59</v>
      </c>
      <c r="Q33" s="2"/>
      <c r="R33" s="7">
        <f t="shared" si="21"/>
        <v>6.7419229391973798E-2</v>
      </c>
      <c r="S33" s="2"/>
      <c r="T33" s="6">
        <v>5558.26</v>
      </c>
      <c r="U33" s="2"/>
      <c r="V33" s="7">
        <f t="shared" si="22"/>
        <v>7.7224859017039391E-2</v>
      </c>
      <c r="W33" s="2"/>
      <c r="X33" s="6">
        <f t="shared" si="23"/>
        <v>133.32999999999993</v>
      </c>
      <c r="Y33" s="2"/>
      <c r="Z33" s="7">
        <f t="shared" si="24"/>
        <v>2.398772277655236E-2</v>
      </c>
    </row>
    <row r="34" spans="1:26" s="24" customFormat="1" hidden="1" outlineLevel="2" x14ac:dyDescent="0.25">
      <c r="A34" s="29"/>
      <c r="B34" s="11" t="str">
        <f>CONCATENATE("          ", "6112", " - ", "COMPENSATION INSURANCE")</f>
        <v xml:space="preserve">          6112 - COMPENSATION INSURANCE</v>
      </c>
      <c r="C34" s="11"/>
      <c r="D34" s="6">
        <v>441.7</v>
      </c>
      <c r="E34" s="2"/>
      <c r="F34" s="7">
        <f t="shared" si="17"/>
        <v>4.6947957599096118E-2</v>
      </c>
      <c r="G34" s="2"/>
      <c r="H34" s="6">
        <v>308.31</v>
      </c>
      <c r="I34" s="2"/>
      <c r="J34" s="7">
        <f t="shared" si="18"/>
        <v>2.9368702913246548E-2</v>
      </c>
      <c r="K34" s="2"/>
      <c r="L34" s="6">
        <f t="shared" si="19"/>
        <v>133.38999999999999</v>
      </c>
      <c r="M34" s="2"/>
      <c r="N34" s="7">
        <f t="shared" si="20"/>
        <v>0.43264895721838403</v>
      </c>
      <c r="O34" s="11"/>
      <c r="P34" s="6">
        <v>1270.17</v>
      </c>
      <c r="Q34" s="2"/>
      <c r="R34" s="7">
        <f t="shared" si="21"/>
        <v>1.5045687162427962E-2</v>
      </c>
      <c r="S34" s="2"/>
      <c r="T34" s="6">
        <v>1230.6500000000001</v>
      </c>
      <c r="U34" s="2"/>
      <c r="V34" s="7">
        <f t="shared" si="22"/>
        <v>1.7098295644557747E-2</v>
      </c>
      <c r="W34" s="2"/>
      <c r="X34" s="6">
        <f t="shared" si="23"/>
        <v>39.519999999999982</v>
      </c>
      <c r="Y34" s="2"/>
      <c r="Z34" s="7">
        <f t="shared" si="24"/>
        <v>3.2113110957624001E-2</v>
      </c>
    </row>
    <row r="35" spans="1:26" s="24" customFormat="1" hidden="1" outlineLevel="2" x14ac:dyDescent="0.25">
      <c r="A35" s="29"/>
      <c r="B35" s="11" t="str">
        <f>CONCATENATE("          ", "6113", " - ", "GROUP INSURANCE")</f>
        <v xml:space="preserve">          6113 - GROUP INSURANCE</v>
      </c>
      <c r="C35" s="11"/>
      <c r="D35" s="6">
        <v>3410.23</v>
      </c>
      <c r="E35" s="2"/>
      <c r="F35" s="7">
        <f t="shared" si="17"/>
        <v>0.36247075717266369</v>
      </c>
      <c r="G35" s="2"/>
      <c r="H35" s="6">
        <v>3423.78</v>
      </c>
      <c r="I35" s="2"/>
      <c r="J35" s="7">
        <f t="shared" si="18"/>
        <v>0.32613920294611032</v>
      </c>
      <c r="K35" s="2"/>
      <c r="L35" s="6">
        <f t="shared" si="19"/>
        <v>-13.550000000000182</v>
      </c>
      <c r="M35" s="2"/>
      <c r="N35" s="7">
        <f t="shared" si="20"/>
        <v>-3.95761409903679E-3</v>
      </c>
      <c r="O35" s="11"/>
      <c r="P35" s="6">
        <v>13674.67</v>
      </c>
      <c r="Q35" s="2"/>
      <c r="R35" s="7">
        <f t="shared" si="21"/>
        <v>0.16198210229295196</v>
      </c>
      <c r="S35" s="2"/>
      <c r="T35" s="6">
        <v>12893.77</v>
      </c>
      <c r="U35" s="2"/>
      <c r="V35" s="7">
        <f t="shared" si="22"/>
        <v>0.17914231620113705</v>
      </c>
      <c r="W35" s="2"/>
      <c r="X35" s="6">
        <f t="shared" si="23"/>
        <v>780.89999999999964</v>
      </c>
      <c r="Y35" s="2"/>
      <c r="Z35" s="7">
        <f t="shared" si="24"/>
        <v>6.0564132910700251E-2</v>
      </c>
    </row>
    <row r="36" spans="1:26" s="24" customFormat="1" hidden="1" outlineLevel="2" x14ac:dyDescent="0.25">
      <c r="A36" s="29"/>
      <c r="B36" s="11" t="str">
        <f>CONCATENATE("          ", "6114", " - ", "STATE UNEMPLOYMENT INSURANCE")</f>
        <v xml:space="preserve">          6114 - STATE UNEMPLOYMENT INSURANCE</v>
      </c>
      <c r="C36" s="11"/>
      <c r="D36" s="6">
        <v>77.599999999999994</v>
      </c>
      <c r="E36" s="2"/>
      <c r="F36" s="7">
        <f t="shared" si="17"/>
        <v>8.2480450751411787E-3</v>
      </c>
      <c r="G36" s="2"/>
      <c r="H36" s="6">
        <v>43.33</v>
      </c>
      <c r="I36" s="2"/>
      <c r="J36" s="7">
        <f t="shared" si="18"/>
        <v>4.1274882333721674E-3</v>
      </c>
      <c r="K36" s="2"/>
      <c r="L36" s="6">
        <f t="shared" si="19"/>
        <v>34.269999999999996</v>
      </c>
      <c r="M36" s="2"/>
      <c r="N36" s="7">
        <f t="shared" si="20"/>
        <v>0.7909069928456034</v>
      </c>
      <c r="O36" s="11"/>
      <c r="P36" s="6">
        <v>223.14</v>
      </c>
      <c r="Q36" s="2"/>
      <c r="R36" s="7">
        <f t="shared" si="21"/>
        <v>2.6431852692349648E-3</v>
      </c>
      <c r="S36" s="2"/>
      <c r="T36" s="6">
        <v>172.95</v>
      </c>
      <c r="U36" s="2"/>
      <c r="V36" s="7">
        <f t="shared" si="22"/>
        <v>2.4029173458954712E-3</v>
      </c>
      <c r="W36" s="2"/>
      <c r="X36" s="6">
        <f t="shared" si="23"/>
        <v>50.19</v>
      </c>
      <c r="Y36" s="2"/>
      <c r="Z36" s="7">
        <f t="shared" si="24"/>
        <v>0.29019947961838682</v>
      </c>
    </row>
    <row r="37" spans="1:26" s="24" customFormat="1" hidden="1" outlineLevel="2" x14ac:dyDescent="0.25">
      <c r="A37" s="29"/>
      <c r="B37" s="11" t="str">
        <f>CONCATENATE("          ", "6115", " - ", "P.E.R.S.")</f>
        <v xml:space="preserve">          6115 - P.E.R.S.</v>
      </c>
      <c r="C37" s="11"/>
      <c r="D37" s="6">
        <v>2386.1799999999998</v>
      </c>
      <c r="E37" s="2"/>
      <c r="F37" s="7">
        <f t="shared" si="17"/>
        <v>0.25362526027577809</v>
      </c>
      <c r="G37" s="2"/>
      <c r="H37" s="6">
        <v>1202.9100000000001</v>
      </c>
      <c r="I37" s="2"/>
      <c r="J37" s="7">
        <f t="shared" si="18"/>
        <v>0.1145856651466816</v>
      </c>
      <c r="K37" s="2"/>
      <c r="L37" s="6">
        <f t="shared" si="19"/>
        <v>1183.2699999999998</v>
      </c>
      <c r="M37" s="2"/>
      <c r="N37" s="7">
        <f t="shared" si="20"/>
        <v>0.98367292648660309</v>
      </c>
      <c r="O37" s="11"/>
      <c r="P37" s="6">
        <v>7158.55</v>
      </c>
      <c r="Q37" s="2"/>
      <c r="R37" s="7">
        <f t="shared" si="21"/>
        <v>8.4795975213238145E-2</v>
      </c>
      <c r="S37" s="2"/>
      <c r="T37" s="6">
        <v>6498.27</v>
      </c>
      <c r="U37" s="2"/>
      <c r="V37" s="7">
        <f t="shared" si="22"/>
        <v>9.0285086448754936E-2</v>
      </c>
      <c r="W37" s="2"/>
      <c r="X37" s="6">
        <f t="shared" si="23"/>
        <v>660.27999999999975</v>
      </c>
      <c r="Y37" s="2"/>
      <c r="Z37" s="7">
        <f t="shared" si="24"/>
        <v>0.10160858197643369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6">
        <v>834.2</v>
      </c>
      <c r="E38" s="2"/>
      <c r="F38" s="7">
        <f t="shared" si="17"/>
        <v>8.8666484557767683E-2</v>
      </c>
      <c r="G38" s="2"/>
      <c r="H38" s="6">
        <v>1824.15</v>
      </c>
      <c r="I38" s="2"/>
      <c r="J38" s="7">
        <f t="shared" si="18"/>
        <v>0.17376315857156333</v>
      </c>
      <c r="K38" s="2"/>
      <c r="L38" s="6">
        <f t="shared" si="19"/>
        <v>-989.95</v>
      </c>
      <c r="M38" s="2"/>
      <c r="N38" s="7">
        <f t="shared" si="20"/>
        <v>-0.54269111641038292</v>
      </c>
      <c r="O38" s="11"/>
      <c r="P38" s="6">
        <v>3963.92</v>
      </c>
      <c r="Q38" s="2"/>
      <c r="R38" s="7">
        <f t="shared" si="21"/>
        <v>4.6954266166648127E-2</v>
      </c>
      <c r="S38" s="2"/>
      <c r="T38" s="6">
        <v>5235.2299999999996</v>
      </c>
      <c r="U38" s="2"/>
      <c r="V38" s="7">
        <f t="shared" si="22"/>
        <v>7.2736773499579924E-2</v>
      </c>
      <c r="W38" s="2"/>
      <c r="X38" s="6">
        <f t="shared" si="23"/>
        <v>-1271.3099999999995</v>
      </c>
      <c r="Y38" s="2"/>
      <c r="Z38" s="7">
        <f t="shared" si="24"/>
        <v>-0.24283746845888329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6">
        <v>591.51</v>
      </c>
      <c r="E39" s="2"/>
      <c r="F39" s="7">
        <f t="shared" si="17"/>
        <v>6.2871148742226282E-2</v>
      </c>
      <c r="G39" s="2"/>
      <c r="H39" s="6">
        <v>1107.75</v>
      </c>
      <c r="I39" s="2"/>
      <c r="J39" s="7">
        <f t="shared" si="18"/>
        <v>0.10552100370454692</v>
      </c>
      <c r="K39" s="2"/>
      <c r="L39" s="6">
        <f t="shared" si="19"/>
        <v>-516.24</v>
      </c>
      <c r="M39" s="2"/>
      <c r="N39" s="7">
        <f t="shared" si="20"/>
        <v>-0.46602572782667573</v>
      </c>
      <c r="O39" s="11"/>
      <c r="P39" s="6">
        <v>2634.93</v>
      </c>
      <c r="Q39" s="2"/>
      <c r="R39" s="7">
        <f t="shared" si="21"/>
        <v>3.1211831861007823E-2</v>
      </c>
      <c r="S39" s="2"/>
      <c r="T39" s="6">
        <v>3217.27</v>
      </c>
      <c r="U39" s="2"/>
      <c r="V39" s="7">
        <f t="shared" si="22"/>
        <v>4.4699820118121555E-2</v>
      </c>
      <c r="W39" s="2"/>
      <c r="X39" s="6">
        <f t="shared" si="23"/>
        <v>-582.34000000000015</v>
      </c>
      <c r="Y39" s="2"/>
      <c r="Z39" s="7">
        <f t="shared" si="24"/>
        <v>-0.18100439192234413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6">
        <v>567.69000000000005</v>
      </c>
      <c r="E40" s="2"/>
      <c r="F40" s="7">
        <f t="shared" si="17"/>
        <v>6.0339339029728052E-2</v>
      </c>
      <c r="G40" s="2"/>
      <c r="H40" s="6">
        <v>499.9</v>
      </c>
      <c r="I40" s="2"/>
      <c r="J40" s="7">
        <f t="shared" si="18"/>
        <v>4.7619002258544804E-2</v>
      </c>
      <c r="K40" s="2"/>
      <c r="L40" s="6">
        <f t="shared" si="19"/>
        <v>67.790000000000077</v>
      </c>
      <c r="M40" s="2"/>
      <c r="N40" s="7">
        <f t="shared" si="20"/>
        <v>0.13560712142428502</v>
      </c>
      <c r="O40" s="11"/>
      <c r="P40" s="6">
        <v>1803.74</v>
      </c>
      <c r="Q40" s="2"/>
      <c r="R40" s="7">
        <f t="shared" si="21"/>
        <v>2.1366043728286616E-2</v>
      </c>
      <c r="S40" s="2"/>
      <c r="T40" s="6">
        <v>1466.64</v>
      </c>
      <c r="U40" s="2"/>
      <c r="V40" s="7">
        <f t="shared" si="22"/>
        <v>2.0377072542261548E-2</v>
      </c>
      <c r="W40" s="2"/>
      <c r="X40" s="6">
        <f t="shared" si="23"/>
        <v>337.09999999999991</v>
      </c>
      <c r="Y40" s="2"/>
      <c r="Z40" s="7">
        <f t="shared" si="24"/>
        <v>0.2298450880925107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22697.439999999999</v>
      </c>
      <c r="E41" s="1"/>
      <c r="F41" s="5">
        <f t="shared" ref="F41:F44" si="25">IF(D$12=0,0,D41/D$12)</f>
        <v>2.4124936625040259</v>
      </c>
      <c r="G41" s="1"/>
      <c r="H41" s="1">
        <f>SUM(OSRRefH22_1x_0)</f>
        <v>15617.39</v>
      </c>
      <c r="I41" s="1"/>
      <c r="J41" s="5">
        <f t="shared" ref="J41:J44" si="26">IF(H$12=0,0,H41/H$12)</f>
        <v>1.4876665926836867</v>
      </c>
      <c r="K41" s="1"/>
      <c r="L41" s="1">
        <f t="shared" ref="L41:L44" si="27">+D41-H41</f>
        <v>7080.0499999999993</v>
      </c>
      <c r="M41" s="1"/>
      <c r="N41" s="5">
        <f t="shared" ref="N41:N44" si="28">IF(H41=0,0,L41/H41)</f>
        <v>0.45334399666013331</v>
      </c>
      <c r="O41" s="14"/>
      <c r="P41" s="1">
        <f>SUM(OSRRefP22_1x_0)</f>
        <v>77258.540000000008</v>
      </c>
      <c r="Q41" s="1"/>
      <c r="R41" s="5">
        <f t="shared" ref="R41:R44" si="29">IF(P$12=0,0,P41/P$12)</f>
        <v>0.91515924912879953</v>
      </c>
      <c r="S41" s="1"/>
      <c r="T41" s="1">
        <f>SUM(OSRRefT22_1x_0)</f>
        <v>60168.05</v>
      </c>
      <c r="U41" s="1"/>
      <c r="V41" s="5">
        <f t="shared" ref="V41:V44" si="30">IF(T$12=0,0,T41/T$12)</f>
        <v>0.83595750802952318</v>
      </c>
      <c r="W41" s="1"/>
      <c r="X41" s="1">
        <f t="shared" ref="X41:X44" si="31">+P41-T41</f>
        <v>17090.490000000005</v>
      </c>
      <c r="Y41" s="1"/>
      <c r="Z41" s="5">
        <f t="shared" ref="Z41:Z44" si="32">IF(T41=0,0,X41/T41)</f>
        <v>0.28404593467795625</v>
      </c>
    </row>
    <row r="42" spans="1:26" s="24" customFormat="1" hidden="1" outlineLevel="2" x14ac:dyDescent="0.25">
      <c r="A42" s="29"/>
      <c r="B42" s="11" t="str">
        <f>CONCATENATE("          ", "6002", " - ", "STAFF SALARIES")</f>
        <v xml:space="preserve">          6002 - STAFF SALARIES</v>
      </c>
      <c r="C42" s="11"/>
      <c r="D42" s="6">
        <v>19378.57</v>
      </c>
      <c r="E42" s="2"/>
      <c r="F42" s="7">
        <f t="shared" si="25"/>
        <v>2.0597334903579716</v>
      </c>
      <c r="G42" s="2"/>
      <c r="H42" s="6">
        <v>14754.47</v>
      </c>
      <c r="I42" s="2"/>
      <c r="J42" s="7">
        <f t="shared" si="26"/>
        <v>1.4054673739820596</v>
      </c>
      <c r="K42" s="2"/>
      <c r="L42" s="6">
        <f t="shared" si="27"/>
        <v>4624.1000000000004</v>
      </c>
      <c r="M42" s="2"/>
      <c r="N42" s="7">
        <f t="shared" si="28"/>
        <v>0.31340332794061737</v>
      </c>
      <c r="O42" s="11"/>
      <c r="P42" s="6">
        <v>68197.710000000006</v>
      </c>
      <c r="Q42" s="2"/>
      <c r="R42" s="7">
        <f t="shared" si="29"/>
        <v>0.80782998327309352</v>
      </c>
      <c r="S42" s="2"/>
      <c r="T42" s="6">
        <v>56768.43</v>
      </c>
      <c r="U42" s="2"/>
      <c r="V42" s="7">
        <f t="shared" si="30"/>
        <v>0.78872416968056003</v>
      </c>
      <c r="W42" s="2"/>
      <c r="X42" s="6">
        <f t="shared" si="31"/>
        <v>11429.280000000006</v>
      </c>
      <c r="Y42" s="2"/>
      <c r="Z42" s="7">
        <f t="shared" si="32"/>
        <v>0.20133162040944247</v>
      </c>
    </row>
    <row r="43" spans="1:26" s="24" customFormat="1" hidden="1" outlineLevel="2" x14ac:dyDescent="0.25">
      <c r="A43" s="29"/>
      <c r="B43" s="11" t="str">
        <f>CONCATENATE("          ", "6005", " - ", "TEMPORARY WAGES-HOURLY")</f>
        <v xml:space="preserve">          6005 - TEMPORARY WAGES-HOURLY</v>
      </c>
      <c r="C43" s="11"/>
      <c r="D43" s="6"/>
      <c r="E43" s="2"/>
      <c r="F43" s="7">
        <f t="shared" si="25"/>
        <v>0</v>
      </c>
      <c r="G43" s="2"/>
      <c r="H43" s="6"/>
      <c r="I43" s="2"/>
      <c r="J43" s="7">
        <f t="shared" si="26"/>
        <v>0</v>
      </c>
      <c r="K43" s="2"/>
      <c r="L43" s="6">
        <f t="shared" si="27"/>
        <v>0</v>
      </c>
      <c r="M43" s="2"/>
      <c r="N43" s="7">
        <f t="shared" si="28"/>
        <v>0</v>
      </c>
      <c r="O43" s="11"/>
      <c r="P43" s="6"/>
      <c r="Q43" s="2"/>
      <c r="R43" s="7">
        <f t="shared" si="29"/>
        <v>0</v>
      </c>
      <c r="S43" s="2"/>
      <c r="T43" s="6">
        <v>383.25</v>
      </c>
      <c r="U43" s="2"/>
      <c r="V43" s="7">
        <f t="shared" si="30"/>
        <v>5.3247648037839804E-3</v>
      </c>
      <c r="W43" s="2"/>
      <c r="X43" s="6">
        <f t="shared" si="31"/>
        <v>-383.25</v>
      </c>
      <c r="Y43" s="2"/>
      <c r="Z43" s="7">
        <f t="shared" si="32"/>
        <v>-1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6">
        <v>3318.87</v>
      </c>
      <c r="E44" s="2"/>
      <c r="F44" s="7">
        <f t="shared" si="25"/>
        <v>0.35276017214605421</v>
      </c>
      <c r="G44" s="2"/>
      <c r="H44" s="6">
        <v>862.92</v>
      </c>
      <c r="I44" s="2"/>
      <c r="J44" s="7">
        <f t="shared" si="26"/>
        <v>8.2199218701627288E-2</v>
      </c>
      <c r="K44" s="2"/>
      <c r="L44" s="6">
        <f t="shared" si="27"/>
        <v>2455.9499999999998</v>
      </c>
      <c r="M44" s="2"/>
      <c r="N44" s="7">
        <f t="shared" si="28"/>
        <v>2.8460923376442775</v>
      </c>
      <c r="O44" s="11"/>
      <c r="P44" s="6">
        <v>9060.83</v>
      </c>
      <c r="Q44" s="2"/>
      <c r="R44" s="7">
        <f t="shared" si="29"/>
        <v>0.10732926585570604</v>
      </c>
      <c r="S44" s="2"/>
      <c r="T44" s="6">
        <v>3016.37</v>
      </c>
      <c r="U44" s="2"/>
      <c r="V44" s="7">
        <f t="shared" si="30"/>
        <v>4.1908573545179087E-2</v>
      </c>
      <c r="W44" s="2"/>
      <c r="X44" s="6">
        <f t="shared" si="31"/>
        <v>6044.46</v>
      </c>
      <c r="Y44" s="2"/>
      <c r="Z44" s="7">
        <f t="shared" si="32"/>
        <v>2.0038854649794291</v>
      </c>
    </row>
    <row r="45" spans="1:26" s="28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97.75</v>
      </c>
      <c r="E45" s="1"/>
      <c r="F45" s="5">
        <f t="shared" ref="F45:F55" si="33">IF(D$12=0,0,D45/D$12)</f>
        <v>1.0389773274420751E-2</v>
      </c>
      <c r="G45" s="1"/>
      <c r="H45" s="1">
        <f>SUM(OSRRefH22_2x_0)</f>
        <v>0</v>
      </c>
      <c r="I45" s="1"/>
      <c r="J45" s="5">
        <f t="shared" ref="J45:J55" si="34">IF(H$12=0,0,H45/H$12)</f>
        <v>0</v>
      </c>
      <c r="K45" s="1"/>
      <c r="L45" s="1">
        <f t="shared" ref="L45:L55" si="35">+D45-H45</f>
        <v>97.75</v>
      </c>
      <c r="M45" s="1"/>
      <c r="N45" s="5">
        <f t="shared" ref="N45:N55" si="36">IF(H45=0,0,L45/H45)</f>
        <v>0</v>
      </c>
      <c r="O45" s="14"/>
      <c r="P45" s="1">
        <f>SUM(OSRRefP22_2x_0)</f>
        <v>97.75</v>
      </c>
      <c r="Q45" s="1"/>
      <c r="R45" s="5">
        <f t="shared" ref="R45:R55" si="37">IF(P$12=0,0,P45/P$12)</f>
        <v>1.1578890385754138E-3</v>
      </c>
      <c r="S45" s="1"/>
      <c r="T45" s="1">
        <f>SUM(OSRRefT22_2x_0)</f>
        <v>0</v>
      </c>
      <c r="U45" s="1"/>
      <c r="V45" s="5">
        <f t="shared" ref="V45:V55" si="38">IF(T$12=0,0,T45/T$12)</f>
        <v>0</v>
      </c>
      <c r="W45" s="1"/>
      <c r="X45" s="1">
        <f t="shared" ref="X45:X55" si="39">+P45-T45</f>
        <v>97.75</v>
      </c>
      <c r="Y45" s="1"/>
      <c r="Z45" s="5">
        <f t="shared" ref="Z45:Z55" si="40">IF(T45=0,0,X45/T45)</f>
        <v>0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6">
        <v>97.75</v>
      </c>
      <c r="E46" s="2"/>
      <c r="F46" s="7">
        <f t="shared" si="33"/>
        <v>1.0389773274420751E-2</v>
      </c>
      <c r="G46" s="2"/>
      <c r="H46" s="6"/>
      <c r="I46" s="2"/>
      <c r="J46" s="7">
        <f t="shared" si="34"/>
        <v>0</v>
      </c>
      <c r="K46" s="2"/>
      <c r="L46" s="6">
        <f t="shared" si="35"/>
        <v>97.75</v>
      </c>
      <c r="M46" s="2"/>
      <c r="N46" s="7">
        <f t="shared" si="36"/>
        <v>0</v>
      </c>
      <c r="O46" s="11"/>
      <c r="P46" s="6">
        <v>97.75</v>
      </c>
      <c r="Q46" s="2"/>
      <c r="R46" s="7">
        <f t="shared" si="37"/>
        <v>1.1578890385754138E-3</v>
      </c>
      <c r="S46" s="2"/>
      <c r="T46" s="6"/>
      <c r="U46" s="2"/>
      <c r="V46" s="7">
        <f t="shared" si="38"/>
        <v>0</v>
      </c>
      <c r="W46" s="2"/>
      <c r="X46" s="6">
        <f t="shared" si="39"/>
        <v>97.75</v>
      </c>
      <c r="Y46" s="2"/>
      <c r="Z46" s="7">
        <f t="shared" si="40"/>
        <v>0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SUM(OSRRefD22_3x_0)</f>
        <v>169.88</v>
      </c>
      <c r="E47" s="1"/>
      <c r="F47" s="5">
        <f t="shared" si="33"/>
        <v>1.8056416203157004E-2</v>
      </c>
      <c r="G47" s="1"/>
      <c r="H47" s="1">
        <f>SUM(OSRRefH22_3x_0)</f>
        <v>169.88</v>
      </c>
      <c r="I47" s="1"/>
      <c r="J47" s="5">
        <f t="shared" si="34"/>
        <v>1.61822686610954E-2</v>
      </c>
      <c r="K47" s="1"/>
      <c r="L47" s="1">
        <f t="shared" si="35"/>
        <v>0</v>
      </c>
      <c r="M47" s="1"/>
      <c r="N47" s="5">
        <f t="shared" si="36"/>
        <v>0</v>
      </c>
      <c r="O47" s="14"/>
      <c r="P47" s="1">
        <f>SUM(OSRRefP22_3x_0)</f>
        <v>679.52</v>
      </c>
      <c r="Q47" s="1"/>
      <c r="R47" s="5">
        <f t="shared" si="37"/>
        <v>8.0491944705142204E-3</v>
      </c>
      <c r="S47" s="1"/>
      <c r="T47" s="1">
        <f>SUM(OSRRefT22_3x_0)</f>
        <v>679.52</v>
      </c>
      <c r="U47" s="1"/>
      <c r="V47" s="5">
        <f t="shared" si="38"/>
        <v>9.4410546104821656E-3</v>
      </c>
      <c r="W47" s="1"/>
      <c r="X47" s="1">
        <f t="shared" si="39"/>
        <v>0</v>
      </c>
      <c r="Y47" s="1"/>
      <c r="Z47" s="5">
        <f t="shared" si="40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169.88</v>
      </c>
      <c r="E48" s="2"/>
      <c r="F48" s="7">
        <f t="shared" si="33"/>
        <v>1.8056416203157004E-2</v>
      </c>
      <c r="G48" s="2"/>
      <c r="H48" s="6">
        <v>169.88</v>
      </c>
      <c r="I48" s="2"/>
      <c r="J48" s="7">
        <f t="shared" si="34"/>
        <v>1.61822686610954E-2</v>
      </c>
      <c r="K48" s="2"/>
      <c r="L48" s="6">
        <f t="shared" si="35"/>
        <v>0</v>
      </c>
      <c r="M48" s="2"/>
      <c r="N48" s="7">
        <f t="shared" si="36"/>
        <v>0</v>
      </c>
      <c r="O48" s="11"/>
      <c r="P48" s="6">
        <v>679.52</v>
      </c>
      <c r="Q48" s="2"/>
      <c r="R48" s="7">
        <f t="shared" si="37"/>
        <v>8.0491944705142204E-3</v>
      </c>
      <c r="S48" s="2"/>
      <c r="T48" s="6">
        <v>679.52</v>
      </c>
      <c r="U48" s="2"/>
      <c r="V48" s="7">
        <f t="shared" si="38"/>
        <v>9.4410546104821656E-3</v>
      </c>
      <c r="W48" s="2"/>
      <c r="X48" s="6">
        <f t="shared" si="39"/>
        <v>0</v>
      </c>
      <c r="Y48" s="2"/>
      <c r="Z48" s="7">
        <f t="shared" si="40"/>
        <v>0</v>
      </c>
    </row>
    <row r="49" spans="1:26" s="28" customFormat="1" outlineLevel="1" collapsed="1" x14ac:dyDescent="0.25">
      <c r="A49" s="27"/>
      <c r="B49" s="14" t="str">
        <f>CONCATENATE("     ","Discounts and Markdowns                           ")</f>
        <v xml:space="preserve">     Discounts and Markdowns                           </v>
      </c>
      <c r="C49" s="14"/>
      <c r="D49" s="1">
        <f>SUM(OSRRefD22_4x_0)</f>
        <v>0</v>
      </c>
      <c r="E49" s="1"/>
      <c r="F49" s="5">
        <f t="shared" si="33"/>
        <v>0</v>
      </c>
      <c r="G49" s="1"/>
      <c r="H49" s="1">
        <f>SUM(OSRRefH22_4x_0)</f>
        <v>0</v>
      </c>
      <c r="I49" s="1"/>
      <c r="J49" s="5">
        <f t="shared" si="34"/>
        <v>0</v>
      </c>
      <c r="K49" s="1"/>
      <c r="L49" s="1">
        <f t="shared" si="35"/>
        <v>0</v>
      </c>
      <c r="M49" s="1"/>
      <c r="N49" s="5">
        <f t="shared" si="36"/>
        <v>0</v>
      </c>
      <c r="O49" s="14"/>
      <c r="P49" s="1">
        <f>SUM(OSRRefP22_4x_0)</f>
        <v>0</v>
      </c>
      <c r="Q49" s="1"/>
      <c r="R49" s="5">
        <f t="shared" si="37"/>
        <v>0</v>
      </c>
      <c r="S49" s="1"/>
      <c r="T49" s="1">
        <f>SUM(OSRRefT22_4x_0)</f>
        <v>0</v>
      </c>
      <c r="U49" s="1"/>
      <c r="V49" s="5">
        <f t="shared" si="38"/>
        <v>0</v>
      </c>
      <c r="W49" s="1"/>
      <c r="X49" s="1">
        <f t="shared" si="39"/>
        <v>0</v>
      </c>
      <c r="Y49" s="1"/>
      <c r="Z49" s="5">
        <f t="shared" si="40"/>
        <v>0</v>
      </c>
    </row>
    <row r="50" spans="1:26" s="24" customFormat="1" hidden="1" outlineLevel="2" x14ac:dyDescent="0.25">
      <c r="A50" s="29"/>
      <c r="B50" s="11" t="str">
        <f>CONCATENATE("          ", "6382", " - ", "DISCOUNTS/MARK DOWNS")</f>
        <v xml:space="preserve">          6382 - DISCOUNTS/MARK DOWNS</v>
      </c>
      <c r="C50" s="11"/>
      <c r="D50" s="6"/>
      <c r="E50" s="2"/>
      <c r="F50" s="7">
        <f t="shared" si="33"/>
        <v>0</v>
      </c>
      <c r="G50" s="2"/>
      <c r="H50" s="6">
        <v>0</v>
      </c>
      <c r="I50" s="2"/>
      <c r="J50" s="7">
        <f t="shared" si="34"/>
        <v>0</v>
      </c>
      <c r="K50" s="2"/>
      <c r="L50" s="6">
        <f t="shared" si="35"/>
        <v>0</v>
      </c>
      <c r="M50" s="2"/>
      <c r="N50" s="7">
        <f t="shared" si="36"/>
        <v>0</v>
      </c>
      <c r="O50" s="11"/>
      <c r="P50" s="6"/>
      <c r="Q50" s="2"/>
      <c r="R50" s="7">
        <f t="shared" si="37"/>
        <v>0</v>
      </c>
      <c r="S50" s="2"/>
      <c r="T50" s="6">
        <v>0</v>
      </c>
      <c r="U50" s="2"/>
      <c r="V50" s="7">
        <f t="shared" si="38"/>
        <v>0</v>
      </c>
      <c r="W50" s="2"/>
      <c r="X50" s="6">
        <f t="shared" si="39"/>
        <v>0</v>
      </c>
      <c r="Y50" s="2"/>
      <c r="Z50" s="7">
        <f t="shared" si="40"/>
        <v>0</v>
      </c>
    </row>
    <row r="51" spans="1:26" s="28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SUM(OSRRefD22_5x_0)</f>
        <v>1205.6400000000001</v>
      </c>
      <c r="E51" s="1"/>
      <c r="F51" s="5">
        <f t="shared" si="33"/>
        <v>0.12814656010815995</v>
      </c>
      <c r="G51" s="1"/>
      <c r="H51" s="1">
        <f>SUM(OSRRefH22_5x_0)</f>
        <v>1205.6400000000001</v>
      </c>
      <c r="I51" s="1"/>
      <c r="J51" s="5">
        <f t="shared" si="34"/>
        <v>0.11484571690936581</v>
      </c>
      <c r="K51" s="1"/>
      <c r="L51" s="1">
        <f t="shared" si="35"/>
        <v>0</v>
      </c>
      <c r="M51" s="1"/>
      <c r="N51" s="5">
        <f t="shared" si="36"/>
        <v>0</v>
      </c>
      <c r="O51" s="14"/>
      <c r="P51" s="1">
        <f>SUM(OSRRefP22_5x_0)</f>
        <v>4822.5600000000004</v>
      </c>
      <c r="Q51" s="1"/>
      <c r="R51" s="5">
        <f t="shared" si="37"/>
        <v>5.7125210863143198E-2</v>
      </c>
      <c r="S51" s="1"/>
      <c r="T51" s="1">
        <f>SUM(OSRRefT22_5x_0)</f>
        <v>4822.5600000000004</v>
      </c>
      <c r="U51" s="1"/>
      <c r="V51" s="5">
        <f t="shared" si="38"/>
        <v>6.7003255713337179E-2</v>
      </c>
      <c r="W51" s="1"/>
      <c r="X51" s="1">
        <f t="shared" si="39"/>
        <v>0</v>
      </c>
      <c r="Y51" s="1"/>
      <c r="Z51" s="5">
        <f t="shared" si="40"/>
        <v>0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6">
        <v>1205.6400000000001</v>
      </c>
      <c r="E52" s="2"/>
      <c r="F52" s="7">
        <f t="shared" si="33"/>
        <v>0.12814656010815995</v>
      </c>
      <c r="G52" s="2"/>
      <c r="H52" s="6">
        <v>1205.6400000000001</v>
      </c>
      <c r="I52" s="2"/>
      <c r="J52" s="7">
        <f t="shared" si="34"/>
        <v>0.11484571690936581</v>
      </c>
      <c r="K52" s="2"/>
      <c r="L52" s="6">
        <f t="shared" si="35"/>
        <v>0</v>
      </c>
      <c r="M52" s="2"/>
      <c r="N52" s="7">
        <f t="shared" si="36"/>
        <v>0</v>
      </c>
      <c r="O52" s="11"/>
      <c r="P52" s="6">
        <v>4822.5600000000004</v>
      </c>
      <c r="Q52" s="2"/>
      <c r="R52" s="7">
        <f t="shared" si="37"/>
        <v>5.7125210863143198E-2</v>
      </c>
      <c r="S52" s="2"/>
      <c r="T52" s="6">
        <v>4822.5600000000004</v>
      </c>
      <c r="U52" s="2"/>
      <c r="V52" s="7">
        <f t="shared" si="38"/>
        <v>6.7003255713337179E-2</v>
      </c>
      <c r="W52" s="2"/>
      <c r="X52" s="6">
        <f t="shared" si="39"/>
        <v>0</v>
      </c>
      <c r="Y52" s="2"/>
      <c r="Z52" s="7">
        <f t="shared" si="40"/>
        <v>0</v>
      </c>
    </row>
    <row r="53" spans="1:26" s="28" customFormat="1" outlineLevel="1" collapsed="1" x14ac:dyDescent="0.25">
      <c r="A53" s="27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SUM(OSRRefD22_6x_0)</f>
        <v>-24784.420000000002</v>
      </c>
      <c r="E53" s="1"/>
      <c r="F53" s="5">
        <f t="shared" si="33"/>
        <v>-2.6343171819746205</v>
      </c>
      <c r="G53" s="1"/>
      <c r="H53" s="1">
        <f>SUM(OSRRefH22_6x_0)</f>
        <v>48851.519999999997</v>
      </c>
      <c r="I53" s="1"/>
      <c r="J53" s="5">
        <f t="shared" si="34"/>
        <v>4.6534519728212578</v>
      </c>
      <c r="K53" s="1"/>
      <c r="L53" s="1">
        <f t="shared" si="35"/>
        <v>-73635.94</v>
      </c>
      <c r="M53" s="1"/>
      <c r="N53" s="5">
        <f t="shared" si="36"/>
        <v>-1.5073418391075653</v>
      </c>
      <c r="O53" s="14"/>
      <c r="P53" s="1">
        <f>SUM(OSRRefP22_6x_0)</f>
        <v>-39187.54</v>
      </c>
      <c r="Q53" s="1"/>
      <c r="R53" s="5">
        <f t="shared" si="37"/>
        <v>-0.46419256281059407</v>
      </c>
      <c r="S53" s="1"/>
      <c r="T53" s="1">
        <f>SUM(OSRRefT22_6x_0)</f>
        <v>-33149.160000000003</v>
      </c>
      <c r="U53" s="1"/>
      <c r="V53" s="5">
        <f t="shared" si="38"/>
        <v>-0.46056485438487615</v>
      </c>
      <c r="W53" s="1"/>
      <c r="X53" s="1">
        <f t="shared" si="39"/>
        <v>-6038.3799999999974</v>
      </c>
      <c r="Y53" s="1"/>
      <c r="Z53" s="5">
        <f t="shared" si="40"/>
        <v>0.18215785860033848</v>
      </c>
    </row>
    <row r="54" spans="1:26" s="24" customFormat="1" hidden="1" outlineLevel="2" x14ac:dyDescent="0.25">
      <c r="A54" s="29"/>
      <c r="B54" s="11" t="str">
        <f>CONCATENATE("          ", "6305", " - ", "FREIGHT OUT")</f>
        <v xml:space="preserve">          6305 - FREIGHT OUT</v>
      </c>
      <c r="C54" s="11"/>
      <c r="D54" s="6">
        <v>26152.05</v>
      </c>
      <c r="E54" s="2"/>
      <c r="F54" s="7">
        <f t="shared" si="33"/>
        <v>2.7796815361771374</v>
      </c>
      <c r="G54" s="2"/>
      <c r="H54" s="6">
        <v>60553.99</v>
      </c>
      <c r="I54" s="2"/>
      <c r="J54" s="7">
        <f t="shared" si="34"/>
        <v>5.7681948121102211</v>
      </c>
      <c r="K54" s="2"/>
      <c r="L54" s="6">
        <f t="shared" si="35"/>
        <v>-34401.94</v>
      </c>
      <c r="M54" s="2"/>
      <c r="N54" s="7">
        <f t="shared" si="36"/>
        <v>-0.56812011892197367</v>
      </c>
      <c r="O54" s="11"/>
      <c r="P54" s="6">
        <v>53480.79</v>
      </c>
      <c r="Q54" s="2"/>
      <c r="R54" s="7">
        <f t="shared" si="37"/>
        <v>0.63350200015707014</v>
      </c>
      <c r="S54" s="2"/>
      <c r="T54" s="6">
        <v>85594.78</v>
      </c>
      <c r="U54" s="2"/>
      <c r="V54" s="7">
        <f t="shared" si="38"/>
        <v>1.189229150506544</v>
      </c>
      <c r="W54" s="2"/>
      <c r="X54" s="6">
        <f t="shared" si="39"/>
        <v>-32113.989999999998</v>
      </c>
      <c r="Y54" s="2"/>
      <c r="Z54" s="7">
        <f t="shared" si="40"/>
        <v>-0.37518631393176077</v>
      </c>
    </row>
    <row r="55" spans="1:26" s="24" customFormat="1" hidden="1" outlineLevel="2" x14ac:dyDescent="0.25">
      <c r="A55" s="29"/>
      <c r="B55" s="11" t="str">
        <f>CONCATENATE("          ", "6307", " - ", "POSTAGE")</f>
        <v xml:space="preserve">          6307 - POSTAGE</v>
      </c>
      <c r="C55" s="11"/>
      <c r="D55" s="6">
        <v>-50936.47</v>
      </c>
      <c r="E55" s="2"/>
      <c r="F55" s="7">
        <f t="shared" si="33"/>
        <v>-5.4139987181517579</v>
      </c>
      <c r="G55" s="2"/>
      <c r="H55" s="6">
        <v>-11702.47</v>
      </c>
      <c r="I55" s="2"/>
      <c r="J55" s="7">
        <f t="shared" si="34"/>
        <v>-1.1147428392889633</v>
      </c>
      <c r="K55" s="2"/>
      <c r="L55" s="6">
        <f t="shared" si="35"/>
        <v>-39234</v>
      </c>
      <c r="M55" s="2"/>
      <c r="N55" s="7">
        <f t="shared" si="36"/>
        <v>3.3526255568268923</v>
      </c>
      <c r="O55" s="11"/>
      <c r="P55" s="6">
        <v>-92668.33</v>
      </c>
      <c r="Q55" s="2"/>
      <c r="R55" s="7">
        <f t="shared" si="37"/>
        <v>-1.0976945629676642</v>
      </c>
      <c r="S55" s="2"/>
      <c r="T55" s="6">
        <v>-118743.94</v>
      </c>
      <c r="U55" s="2"/>
      <c r="V55" s="7">
        <f t="shared" si="38"/>
        <v>-1.6497940048914201</v>
      </c>
      <c r="W55" s="2"/>
      <c r="X55" s="6">
        <f t="shared" si="39"/>
        <v>26075.61</v>
      </c>
      <c r="Y55" s="2"/>
      <c r="Z55" s="7">
        <f t="shared" si="40"/>
        <v>-0.21959529050493018</v>
      </c>
    </row>
    <row r="56" spans="1:26" s="28" customFormat="1" outlineLevel="1" collapsed="1" x14ac:dyDescent="0.25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0</v>
      </c>
      <c r="E56" s="1"/>
      <c r="F56" s="5">
        <f t="shared" ref="F56:F61" si="41">IF(D$12=0,0,D56/D$12)</f>
        <v>0</v>
      </c>
      <c r="G56" s="1"/>
      <c r="H56" s="1">
        <f>SUM(OSRRefH22_7x_0)</f>
        <v>0</v>
      </c>
      <c r="I56" s="1"/>
      <c r="J56" s="5">
        <f t="shared" ref="J56:J61" si="42">IF(H$12=0,0,H56/H$12)</f>
        <v>0</v>
      </c>
      <c r="K56" s="1"/>
      <c r="L56" s="1">
        <f t="shared" ref="L56:L61" si="43">+D56-H56</f>
        <v>0</v>
      </c>
      <c r="M56" s="1"/>
      <c r="N56" s="5">
        <f t="shared" ref="N56:N61" si="44">IF(H56=0,0,L56/H56)</f>
        <v>0</v>
      </c>
      <c r="O56" s="14"/>
      <c r="P56" s="1">
        <f>SUM(OSRRefP22_7x_0)</f>
        <v>91.31</v>
      </c>
      <c r="Q56" s="1"/>
      <c r="R56" s="5">
        <f t="shared" ref="R56:R61" si="45">IF(P$12=0,0,P56/P$12)</f>
        <v>1.0816045842692689E-3</v>
      </c>
      <c r="S56" s="1"/>
      <c r="T56" s="1">
        <f>SUM(OSRRefT22_7x_0)</f>
        <v>0</v>
      </c>
      <c r="U56" s="1"/>
      <c r="V56" s="5">
        <f t="shared" ref="V56:V61" si="46">IF(T$12=0,0,T56/T$12)</f>
        <v>0</v>
      </c>
      <c r="W56" s="1"/>
      <c r="X56" s="1">
        <f t="shared" ref="X56:X61" si="47">+P56-T56</f>
        <v>91.31</v>
      </c>
      <c r="Y56" s="1"/>
      <c r="Z56" s="5">
        <f t="shared" ref="Z56:Z61" si="48">IF(T56=0,0,X56/T56)</f>
        <v>0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41"/>
        <v>0</v>
      </c>
      <c r="G57" s="2"/>
      <c r="H57" s="6"/>
      <c r="I57" s="2"/>
      <c r="J57" s="7">
        <f t="shared" si="42"/>
        <v>0</v>
      </c>
      <c r="K57" s="2"/>
      <c r="L57" s="6">
        <f t="shared" si="43"/>
        <v>0</v>
      </c>
      <c r="M57" s="2"/>
      <c r="N57" s="7">
        <f t="shared" si="44"/>
        <v>0</v>
      </c>
      <c r="O57" s="11"/>
      <c r="P57" s="6">
        <v>91.31</v>
      </c>
      <c r="Q57" s="2"/>
      <c r="R57" s="7">
        <f t="shared" si="45"/>
        <v>1.0816045842692689E-3</v>
      </c>
      <c r="S57" s="2"/>
      <c r="T57" s="6"/>
      <c r="U57" s="2"/>
      <c r="V57" s="7">
        <f t="shared" si="46"/>
        <v>0</v>
      </c>
      <c r="W57" s="2"/>
      <c r="X57" s="6">
        <f t="shared" si="47"/>
        <v>91.31</v>
      </c>
      <c r="Y57" s="2"/>
      <c r="Z57" s="7">
        <f t="shared" si="48"/>
        <v>0</v>
      </c>
    </row>
    <row r="58" spans="1:26" s="28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SUM(OSRRefD22_8x_0)</f>
        <v>8307.630000000001</v>
      </c>
      <c r="E58" s="1"/>
      <c r="F58" s="5">
        <f t="shared" si="41"/>
        <v>0.88301168437622579</v>
      </c>
      <c r="G58" s="1"/>
      <c r="H58" s="1">
        <f>SUM(OSRRefH22_8x_0)</f>
        <v>5274.0899999999992</v>
      </c>
      <c r="I58" s="1"/>
      <c r="J58" s="5">
        <f t="shared" si="42"/>
        <v>0.5023942861007572</v>
      </c>
      <c r="K58" s="1"/>
      <c r="L58" s="1">
        <f t="shared" si="43"/>
        <v>3033.5400000000018</v>
      </c>
      <c r="M58" s="1"/>
      <c r="N58" s="5">
        <f t="shared" si="44"/>
        <v>0.57517789798808938</v>
      </c>
      <c r="O58" s="14"/>
      <c r="P58" s="1">
        <f>SUM(OSRRefP22_8x_0)</f>
        <v>12385.15</v>
      </c>
      <c r="Q58" s="1"/>
      <c r="R58" s="5">
        <f t="shared" si="45"/>
        <v>0.14670720640524076</v>
      </c>
      <c r="S58" s="1"/>
      <c r="T58" s="1">
        <f>SUM(OSRRefT22_8x_0)</f>
        <v>24120.76</v>
      </c>
      <c r="U58" s="1"/>
      <c r="V58" s="5">
        <f t="shared" si="46"/>
        <v>0.33512687250755507</v>
      </c>
      <c r="W58" s="1"/>
      <c r="X58" s="1">
        <f t="shared" si="47"/>
        <v>-11735.609999999999</v>
      </c>
      <c r="Y58" s="1"/>
      <c r="Z58" s="5">
        <f t="shared" si="48"/>
        <v>-0.48653566471371545</v>
      </c>
    </row>
    <row r="59" spans="1:26" s="24" customFormat="1" hidden="1" outlineLevel="2" x14ac:dyDescent="0.25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41"/>
        <v>0</v>
      </c>
      <c r="G59" s="2"/>
      <c r="H59" s="6">
        <v>7.69</v>
      </c>
      <c r="I59" s="2"/>
      <c r="J59" s="7">
        <f t="shared" si="42"/>
        <v>7.325267600884368E-4</v>
      </c>
      <c r="K59" s="2"/>
      <c r="L59" s="6">
        <f t="shared" si="43"/>
        <v>-7.69</v>
      </c>
      <c r="M59" s="2"/>
      <c r="N59" s="7">
        <f t="shared" si="44"/>
        <v>-1</v>
      </c>
      <c r="O59" s="11"/>
      <c r="P59" s="6"/>
      <c r="Q59" s="2"/>
      <c r="R59" s="7">
        <f t="shared" si="45"/>
        <v>0</v>
      </c>
      <c r="S59" s="2"/>
      <c r="T59" s="6">
        <v>7.69</v>
      </c>
      <c r="U59" s="2"/>
      <c r="V59" s="7">
        <f t="shared" si="46"/>
        <v>1.0684263885479142E-4</v>
      </c>
      <c r="W59" s="2"/>
      <c r="X59" s="6">
        <f t="shared" si="47"/>
        <v>-7.69</v>
      </c>
      <c r="Y59" s="2"/>
      <c r="Z59" s="7">
        <f t="shared" si="48"/>
        <v>-1</v>
      </c>
    </row>
    <row r="60" spans="1:26" s="24" customFormat="1" hidden="1" outlineLevel="2" x14ac:dyDescent="0.25">
      <c r="A60" s="29"/>
      <c r="B60" s="11" t="str">
        <f>CONCATENATE("          ", "6373", " - ", "MAINTENANCE CONTRACTS")</f>
        <v xml:space="preserve">          6373 - MAINTENANCE CONTRACTS</v>
      </c>
      <c r="C60" s="11"/>
      <c r="D60" s="6">
        <v>3806.46</v>
      </c>
      <c r="E60" s="2"/>
      <c r="F60" s="7">
        <f t="shared" si="41"/>
        <v>0.40458574299899347</v>
      </c>
      <c r="G60" s="2"/>
      <c r="H60" s="6">
        <v>5266.4</v>
      </c>
      <c r="I60" s="2"/>
      <c r="J60" s="7">
        <f t="shared" si="42"/>
        <v>0.50166175934066881</v>
      </c>
      <c r="K60" s="2"/>
      <c r="L60" s="6">
        <f t="shared" si="43"/>
        <v>-1459.9399999999996</v>
      </c>
      <c r="M60" s="2"/>
      <c r="N60" s="7">
        <f t="shared" si="44"/>
        <v>-0.27721783381437032</v>
      </c>
      <c r="O60" s="11"/>
      <c r="P60" s="6">
        <v>4487.54</v>
      </c>
      <c r="Q60" s="2"/>
      <c r="R60" s="7">
        <f t="shared" si="45"/>
        <v>5.3156760881521353E-2</v>
      </c>
      <c r="S60" s="2"/>
      <c r="T60" s="6">
        <v>24113.07</v>
      </c>
      <c r="U60" s="2"/>
      <c r="V60" s="7">
        <f t="shared" si="46"/>
        <v>0.33502002986870028</v>
      </c>
      <c r="W60" s="2"/>
      <c r="X60" s="6">
        <f t="shared" si="47"/>
        <v>-19625.53</v>
      </c>
      <c r="Y60" s="2"/>
      <c r="Z60" s="7">
        <f t="shared" si="48"/>
        <v>-0.81389594937517284</v>
      </c>
    </row>
    <row r="61" spans="1:26" s="24" customFormat="1" hidden="1" outlineLevel="2" x14ac:dyDescent="0.25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4501.17</v>
      </c>
      <c r="E61" s="2"/>
      <c r="F61" s="7">
        <f t="shared" si="41"/>
        <v>0.47842594137723227</v>
      </c>
      <c r="G61" s="2"/>
      <c r="H61" s="6"/>
      <c r="I61" s="2"/>
      <c r="J61" s="7">
        <f t="shared" si="42"/>
        <v>0</v>
      </c>
      <c r="K61" s="2"/>
      <c r="L61" s="6">
        <f t="shared" si="43"/>
        <v>4501.17</v>
      </c>
      <c r="M61" s="2"/>
      <c r="N61" s="7">
        <f t="shared" si="44"/>
        <v>0</v>
      </c>
      <c r="O61" s="11"/>
      <c r="P61" s="6">
        <v>7897.61</v>
      </c>
      <c r="Q61" s="2"/>
      <c r="R61" s="7">
        <f t="shared" si="45"/>
        <v>9.3550445523719411E-2</v>
      </c>
      <c r="S61" s="2"/>
      <c r="T61" s="6"/>
      <c r="U61" s="2"/>
      <c r="V61" s="7">
        <f t="shared" si="46"/>
        <v>0</v>
      </c>
      <c r="W61" s="2"/>
      <c r="X61" s="6">
        <f t="shared" si="47"/>
        <v>7897.61</v>
      </c>
      <c r="Y61" s="2"/>
      <c r="Z61" s="7">
        <f t="shared" si="48"/>
        <v>0</v>
      </c>
    </row>
    <row r="62" spans="1:26" s="28" customFormat="1" outlineLevel="1" collapsed="1" x14ac:dyDescent="0.25">
      <c r="A62" s="27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SUM(OSRRefD22_9x_0)</f>
        <v>1925.97</v>
      </c>
      <c r="E62" s="1"/>
      <c r="F62" s="5">
        <f t="shared" ref="F62:F69" si="49">IF(D$12=0,0,D62/D$12)</f>
        <v>0.20470988883208321</v>
      </c>
      <c r="G62" s="1"/>
      <c r="H62" s="1">
        <f>SUM(OSRRefH22_9x_0)</f>
        <v>320.39999999999998</v>
      </c>
      <c r="I62" s="1"/>
      <c r="J62" s="5">
        <f t="shared" ref="J62:J69" si="50">IF(H$12=0,0,H62/H$12)</f>
        <v>3.0520360719419392E-2</v>
      </c>
      <c r="K62" s="1"/>
      <c r="L62" s="1">
        <f t="shared" ref="L62:L69" si="51">+D62-H62</f>
        <v>1605.5700000000002</v>
      </c>
      <c r="M62" s="1"/>
      <c r="N62" s="5">
        <f t="shared" ref="N62:N69" si="52">IF(H62=0,0,L62/H62)</f>
        <v>5.0111423220973794</v>
      </c>
      <c r="O62" s="14"/>
      <c r="P62" s="1">
        <f>SUM(OSRRefP22_9x_0)</f>
        <v>3708.14</v>
      </c>
      <c r="Q62" s="1"/>
      <c r="R62" s="5">
        <f t="shared" ref="R62:R69" si="53">IF(P$12=0,0,P62/P$12)</f>
        <v>4.3924446644532322E-2</v>
      </c>
      <c r="S62" s="1"/>
      <c r="T62" s="1">
        <f>SUM(OSRRefT22_9x_0)</f>
        <v>5705.2</v>
      </c>
      <c r="U62" s="1"/>
      <c r="V62" s="5">
        <f t="shared" ref="V62:V69" si="54">IF(T$12=0,0,T62/T$12)</f>
        <v>7.9266400935546932E-2</v>
      </c>
      <c r="W62" s="1"/>
      <c r="X62" s="1">
        <f t="shared" ref="X62:X69" si="55">+P62-T62</f>
        <v>-1997.06</v>
      </c>
      <c r="Y62" s="1"/>
      <c r="Z62" s="5">
        <f t="shared" ref="Z62:Z69" si="56">IF(T62=0,0,X62/T62)</f>
        <v>-0.35004206688634931</v>
      </c>
    </row>
    <row r="63" spans="1:26" s="24" customFormat="1" hidden="1" outlineLevel="2" x14ac:dyDescent="0.25">
      <c r="A63" s="29"/>
      <c r="B63" s="11" t="str">
        <f>CONCATENATE("          ", "6259", " - ", "ROYALTY &amp; COMMISSIONS")</f>
        <v xml:space="preserve">          6259 - ROYALTY &amp; COMMISSIONS</v>
      </c>
      <c r="C63" s="11"/>
      <c r="D63" s="6">
        <v>1925.97</v>
      </c>
      <c r="E63" s="2"/>
      <c r="F63" s="7">
        <f t="shared" si="49"/>
        <v>0.20470988883208321</v>
      </c>
      <c r="G63" s="2"/>
      <c r="H63" s="6">
        <v>320.39999999999998</v>
      </c>
      <c r="I63" s="2"/>
      <c r="J63" s="7">
        <f t="shared" si="50"/>
        <v>3.0520360719419392E-2</v>
      </c>
      <c r="K63" s="2"/>
      <c r="L63" s="6">
        <f t="shared" si="51"/>
        <v>1605.5700000000002</v>
      </c>
      <c r="M63" s="2"/>
      <c r="N63" s="7">
        <f t="shared" si="52"/>
        <v>5.0111423220973794</v>
      </c>
      <c r="O63" s="11"/>
      <c r="P63" s="6">
        <v>3708.14</v>
      </c>
      <c r="Q63" s="2"/>
      <c r="R63" s="7">
        <f t="shared" si="53"/>
        <v>4.3924446644532322E-2</v>
      </c>
      <c r="S63" s="2"/>
      <c r="T63" s="6">
        <v>5705.2</v>
      </c>
      <c r="U63" s="2"/>
      <c r="V63" s="7">
        <f t="shared" si="54"/>
        <v>7.9266400935546932E-2</v>
      </c>
      <c r="W63" s="2"/>
      <c r="X63" s="6">
        <f t="shared" si="55"/>
        <v>-1997.06</v>
      </c>
      <c r="Y63" s="2"/>
      <c r="Z63" s="7">
        <f t="shared" si="56"/>
        <v>-0.35004206688634931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3516.3199999999997</v>
      </c>
      <c r="E64" s="1"/>
      <c r="F64" s="5">
        <f t="shared" si="49"/>
        <v>0.37374698271418078</v>
      </c>
      <c r="G64" s="1"/>
      <c r="H64" s="1">
        <f>SUM(OSRRefH22_10x_0)</f>
        <v>1902.8600000000001</v>
      </c>
      <c r="I64" s="1"/>
      <c r="J64" s="5">
        <f t="shared" si="50"/>
        <v>0.18126084144367788</v>
      </c>
      <c r="K64" s="1"/>
      <c r="L64" s="1">
        <f t="shared" si="51"/>
        <v>1613.4599999999996</v>
      </c>
      <c r="M64" s="1"/>
      <c r="N64" s="5">
        <f t="shared" si="52"/>
        <v>0.84791314127155937</v>
      </c>
      <c r="O64" s="14"/>
      <c r="P64" s="1">
        <f>SUM(OSRRefP22_10x_0)</f>
        <v>16555.43</v>
      </c>
      <c r="Q64" s="1"/>
      <c r="R64" s="5">
        <f t="shared" si="53"/>
        <v>0.19610589182509014</v>
      </c>
      <c r="S64" s="1"/>
      <c r="T64" s="1">
        <f>SUM(OSRRefT22_10x_0)</f>
        <v>21511.55</v>
      </c>
      <c r="U64" s="1"/>
      <c r="V64" s="5">
        <f t="shared" si="54"/>
        <v>0.29887526240010248</v>
      </c>
      <c r="W64" s="1"/>
      <c r="X64" s="1">
        <f t="shared" si="55"/>
        <v>-4956.119999999999</v>
      </c>
      <c r="Y64" s="1"/>
      <c r="Z64" s="5">
        <f t="shared" si="56"/>
        <v>-0.23039343980326843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49"/>
        <v>0</v>
      </c>
      <c r="G65" s="2"/>
      <c r="H65" s="6"/>
      <c r="I65" s="2"/>
      <c r="J65" s="7">
        <f t="shared" si="50"/>
        <v>0</v>
      </c>
      <c r="K65" s="2"/>
      <c r="L65" s="6">
        <f t="shared" si="51"/>
        <v>0</v>
      </c>
      <c r="M65" s="2"/>
      <c r="N65" s="7">
        <f t="shared" si="52"/>
        <v>0</v>
      </c>
      <c r="O65" s="11"/>
      <c r="P65" s="6"/>
      <c r="Q65" s="2"/>
      <c r="R65" s="7">
        <f t="shared" si="53"/>
        <v>0</v>
      </c>
      <c r="S65" s="2"/>
      <c r="T65" s="6">
        <v>310.91000000000003</v>
      </c>
      <c r="U65" s="2"/>
      <c r="V65" s="7">
        <f t="shared" si="54"/>
        <v>4.3196937381460602E-3</v>
      </c>
      <c r="W65" s="2"/>
      <c r="X65" s="6">
        <f t="shared" si="55"/>
        <v>-310.91000000000003</v>
      </c>
      <c r="Y65" s="2"/>
      <c r="Z65" s="7">
        <f t="shared" si="56"/>
        <v>-1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6">
        <v>3.96</v>
      </c>
      <c r="E66" s="2"/>
      <c r="F66" s="7">
        <f t="shared" si="49"/>
        <v>4.2090539300978185E-4</v>
      </c>
      <c r="G66" s="2"/>
      <c r="H66" s="6">
        <v>6.6</v>
      </c>
      <c r="I66" s="2"/>
      <c r="J66" s="7">
        <f t="shared" si="50"/>
        <v>6.286965691266167E-4</v>
      </c>
      <c r="K66" s="2"/>
      <c r="L66" s="6">
        <f t="shared" si="51"/>
        <v>-2.6399999999999997</v>
      </c>
      <c r="M66" s="2"/>
      <c r="N66" s="7">
        <f t="shared" si="52"/>
        <v>-0.39999999999999997</v>
      </c>
      <c r="O66" s="11"/>
      <c r="P66" s="6">
        <v>4835.71</v>
      </c>
      <c r="Q66" s="2"/>
      <c r="R66" s="7">
        <f t="shared" si="53"/>
        <v>5.7280978033038506E-2</v>
      </c>
      <c r="S66" s="2"/>
      <c r="T66" s="6">
        <v>4596.8599999999997</v>
      </c>
      <c r="U66" s="2"/>
      <c r="V66" s="7">
        <f t="shared" si="54"/>
        <v>6.3867445103515788E-2</v>
      </c>
      <c r="W66" s="2"/>
      <c r="X66" s="6">
        <f t="shared" si="55"/>
        <v>238.85000000000036</v>
      </c>
      <c r="Y66" s="2"/>
      <c r="Z66" s="7">
        <f t="shared" si="56"/>
        <v>5.1959380968748317E-2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6">
        <v>735.87</v>
      </c>
      <c r="E67" s="2"/>
      <c r="F67" s="7">
        <f t="shared" si="49"/>
        <v>7.8215063523764686E-2</v>
      </c>
      <c r="G67" s="2"/>
      <c r="H67" s="6">
        <v>449.01</v>
      </c>
      <c r="I67" s="2"/>
      <c r="J67" s="7">
        <f t="shared" si="50"/>
        <v>4.2771370682354877E-2</v>
      </c>
      <c r="K67" s="2"/>
      <c r="L67" s="6">
        <f t="shared" si="51"/>
        <v>286.86</v>
      </c>
      <c r="M67" s="2"/>
      <c r="N67" s="7">
        <f t="shared" si="52"/>
        <v>0.63887218547471103</v>
      </c>
      <c r="O67" s="11"/>
      <c r="P67" s="6">
        <v>4186.79</v>
      </c>
      <c r="Q67" s="2"/>
      <c r="R67" s="7">
        <f t="shared" si="53"/>
        <v>4.9594253174600068E-2</v>
      </c>
      <c r="S67" s="2"/>
      <c r="T67" s="6">
        <v>3573.7</v>
      </c>
      <c r="U67" s="2"/>
      <c r="V67" s="7">
        <f t="shared" si="54"/>
        <v>4.9651955588474392E-2</v>
      </c>
      <c r="W67" s="2"/>
      <c r="X67" s="6">
        <f t="shared" si="55"/>
        <v>613.09000000000015</v>
      </c>
      <c r="Y67" s="2"/>
      <c r="Z67" s="7">
        <f t="shared" si="56"/>
        <v>0.17155609032655236</v>
      </c>
    </row>
    <row r="68" spans="1:26" s="24" customFormat="1" hidden="1" outlineLevel="2" x14ac:dyDescent="0.25">
      <c r="A68" s="29"/>
      <c r="B68" s="11" t="str">
        <f>CONCATENATE("          ", "6245", " - ", "PRINTING")</f>
        <v xml:space="preserve">          6245 - PRINTING</v>
      </c>
      <c r="C68" s="11"/>
      <c r="D68" s="6">
        <v>296.68</v>
      </c>
      <c r="E68" s="2"/>
      <c r="F68" s="7">
        <f t="shared" si="49"/>
        <v>3.1533891918722745E-2</v>
      </c>
      <c r="G68" s="2"/>
      <c r="H68" s="6">
        <v>353.09</v>
      </c>
      <c r="I68" s="2"/>
      <c r="J68" s="7">
        <f t="shared" si="50"/>
        <v>3.3634313877714712E-2</v>
      </c>
      <c r="K68" s="2"/>
      <c r="L68" s="6">
        <f t="shared" si="51"/>
        <v>-56.409999999999968</v>
      </c>
      <c r="M68" s="2"/>
      <c r="N68" s="7">
        <f t="shared" si="52"/>
        <v>-0.15976096745872148</v>
      </c>
      <c r="O68" s="11"/>
      <c r="P68" s="6">
        <v>-362.39</v>
      </c>
      <c r="Q68" s="2"/>
      <c r="R68" s="7">
        <f t="shared" si="53"/>
        <v>-4.2926589124229579E-3</v>
      </c>
      <c r="S68" s="2"/>
      <c r="T68" s="6">
        <v>345.89</v>
      </c>
      <c r="U68" s="2"/>
      <c r="V68" s="7">
        <f t="shared" si="54"/>
        <v>4.8056957546792978E-3</v>
      </c>
      <c r="W68" s="2"/>
      <c r="X68" s="6">
        <f t="shared" si="55"/>
        <v>-708.28</v>
      </c>
      <c r="Y68" s="2"/>
      <c r="Z68" s="7">
        <f t="shared" si="56"/>
        <v>-2.0477030269738936</v>
      </c>
    </row>
    <row r="69" spans="1:26" s="24" customFormat="1" hidden="1" outlineLevel="2" x14ac:dyDescent="0.25">
      <c r="A69" s="29"/>
      <c r="B69" s="11" t="str">
        <f>CONCATENATE("          ", "6247", " - ", "STORE SUPPLIES")</f>
        <v xml:space="preserve">          6247 - STORE SUPPLIES</v>
      </c>
      <c r="C69" s="11"/>
      <c r="D69" s="6">
        <v>2479.81</v>
      </c>
      <c r="E69" s="2"/>
      <c r="F69" s="7">
        <f t="shared" si="49"/>
        <v>0.2635771218786836</v>
      </c>
      <c r="G69" s="2"/>
      <c r="H69" s="6">
        <v>1094.1600000000001</v>
      </c>
      <c r="I69" s="2"/>
      <c r="J69" s="7">
        <f t="shared" si="50"/>
        <v>0.10422646031448167</v>
      </c>
      <c r="K69" s="2"/>
      <c r="L69" s="6">
        <f t="shared" si="51"/>
        <v>1385.6499999999999</v>
      </c>
      <c r="M69" s="2"/>
      <c r="N69" s="7">
        <f t="shared" si="52"/>
        <v>1.2664052789354387</v>
      </c>
      <c r="O69" s="11"/>
      <c r="P69" s="6">
        <v>7895.32</v>
      </c>
      <c r="Q69" s="2"/>
      <c r="R69" s="7">
        <f t="shared" si="53"/>
        <v>9.3523319529874527E-2</v>
      </c>
      <c r="S69" s="2"/>
      <c r="T69" s="6">
        <v>12684.19</v>
      </c>
      <c r="U69" s="2"/>
      <c r="V69" s="7">
        <f t="shared" si="54"/>
        <v>0.17623047221528695</v>
      </c>
      <c r="W69" s="2"/>
      <c r="X69" s="6">
        <f t="shared" si="55"/>
        <v>-4788.8700000000008</v>
      </c>
      <c r="Y69" s="2"/>
      <c r="Z69" s="7">
        <f t="shared" si="56"/>
        <v>-0.3775463786020235</v>
      </c>
    </row>
    <row r="70" spans="1:26" s="28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SUM(OSRRefD22_11x_0)</f>
        <v>46.2</v>
      </c>
      <c r="E70" s="1"/>
      <c r="F70" s="5">
        <f t="shared" ref="F70:F73" si="57">IF(D$12=0,0,D70/D$12)</f>
        <v>4.9105629184474555E-3</v>
      </c>
      <c r="G70" s="1"/>
      <c r="H70" s="1">
        <f>SUM(OSRRefH22_11x_0)</f>
        <v>193.4</v>
      </c>
      <c r="I70" s="1"/>
      <c r="J70" s="5">
        <f t="shared" ref="J70:J73" si="58">IF(H$12=0,0,H70/H$12)</f>
        <v>1.8422714616528436E-2</v>
      </c>
      <c r="K70" s="1"/>
      <c r="L70" s="1">
        <f t="shared" ref="L70:L73" si="59">+D70-H70</f>
        <v>-147.19999999999999</v>
      </c>
      <c r="M70" s="1"/>
      <c r="N70" s="5">
        <f t="shared" ref="N70:N73" si="60">IF(H70=0,0,L70/H70)</f>
        <v>-0.76111685625646319</v>
      </c>
      <c r="O70" s="14"/>
      <c r="P70" s="1">
        <f>SUM(OSRRefP22_11x_0)</f>
        <v>532.9</v>
      </c>
      <c r="Q70" s="1"/>
      <c r="R70" s="5">
        <f t="shared" ref="R70:R73" si="61">IF(P$12=0,0,P70/P$12)</f>
        <v>6.3124201397118974E-3</v>
      </c>
      <c r="S70" s="1"/>
      <c r="T70" s="1">
        <f>SUM(OSRRefT22_11x_0)</f>
        <v>859.15</v>
      </c>
      <c r="U70" s="1"/>
      <c r="V70" s="5">
        <f t="shared" ref="V70:V73" si="62">IF(T$12=0,0,T70/T$12)</f>
        <v>1.1936781946956312E-2</v>
      </c>
      <c r="W70" s="1"/>
      <c r="X70" s="1">
        <f t="shared" ref="X70:X73" si="63">+P70-T70</f>
        <v>-326.25</v>
      </c>
      <c r="Y70" s="1"/>
      <c r="Z70" s="5">
        <f t="shared" ref="Z70:Z73" si="64">IF(T70=0,0,X70/T70)</f>
        <v>-0.37973578536926034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6">
        <v>46.2</v>
      </c>
      <c r="E71" s="2"/>
      <c r="F71" s="7">
        <f t="shared" si="57"/>
        <v>4.9105629184474555E-3</v>
      </c>
      <c r="G71" s="2"/>
      <c r="H71" s="6">
        <v>193.4</v>
      </c>
      <c r="I71" s="2"/>
      <c r="J71" s="7">
        <f t="shared" si="58"/>
        <v>1.8422714616528436E-2</v>
      </c>
      <c r="K71" s="2"/>
      <c r="L71" s="6">
        <f t="shared" si="59"/>
        <v>-147.19999999999999</v>
      </c>
      <c r="M71" s="2"/>
      <c r="N71" s="7">
        <f t="shared" si="60"/>
        <v>-0.76111685625646319</v>
      </c>
      <c r="O71" s="11"/>
      <c r="P71" s="6">
        <v>532.9</v>
      </c>
      <c r="Q71" s="2"/>
      <c r="R71" s="7">
        <f t="shared" si="61"/>
        <v>6.3124201397118974E-3</v>
      </c>
      <c r="S71" s="2"/>
      <c r="T71" s="6">
        <v>859.15</v>
      </c>
      <c r="U71" s="2"/>
      <c r="V71" s="7">
        <f t="shared" si="62"/>
        <v>1.1936781946956312E-2</v>
      </c>
      <c r="W71" s="2"/>
      <c r="X71" s="6">
        <f t="shared" si="63"/>
        <v>-326.25</v>
      </c>
      <c r="Y71" s="2"/>
      <c r="Z71" s="7">
        <f t="shared" si="64"/>
        <v>-0.37973578536926034</v>
      </c>
    </row>
    <row r="72" spans="1:26" s="28" customFormat="1" outlineLevel="1" collapsed="1" x14ac:dyDescent="0.25">
      <c r="A72" s="27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SUM(OSRRefD22_12x_0)</f>
        <v>0</v>
      </c>
      <c r="E72" s="1"/>
      <c r="F72" s="5">
        <f t="shared" si="57"/>
        <v>0</v>
      </c>
      <c r="G72" s="1"/>
      <c r="H72" s="1">
        <f>SUM(OSRRefH22_12x_0)</f>
        <v>0</v>
      </c>
      <c r="I72" s="1"/>
      <c r="J72" s="5">
        <f t="shared" si="58"/>
        <v>0</v>
      </c>
      <c r="K72" s="1"/>
      <c r="L72" s="1">
        <f t="shared" si="59"/>
        <v>0</v>
      </c>
      <c r="M72" s="1"/>
      <c r="N72" s="5">
        <f t="shared" si="60"/>
        <v>0</v>
      </c>
      <c r="O72" s="14"/>
      <c r="P72" s="1">
        <f>SUM(OSRRefP22_12x_0)</f>
        <v>0</v>
      </c>
      <c r="Q72" s="1"/>
      <c r="R72" s="5">
        <f t="shared" si="61"/>
        <v>0</v>
      </c>
      <c r="S72" s="1"/>
      <c r="T72" s="1">
        <f>SUM(OSRRefT22_12x_0)</f>
        <v>15.02</v>
      </c>
      <c r="U72" s="1"/>
      <c r="V72" s="5">
        <f t="shared" si="62"/>
        <v>2.0868354169037282E-4</v>
      </c>
      <c r="W72" s="1"/>
      <c r="X72" s="1">
        <f t="shared" si="63"/>
        <v>-15.02</v>
      </c>
      <c r="Y72" s="1"/>
      <c r="Z72" s="5">
        <f t="shared" si="64"/>
        <v>-1</v>
      </c>
    </row>
    <row r="73" spans="1:26" s="24" customFormat="1" hidden="1" outlineLevel="2" x14ac:dyDescent="0.25">
      <c r="A73" s="29"/>
      <c r="B73" s="11" t="str">
        <f>CONCATENATE("          ", "6274", " - ", "UTILITIES")</f>
        <v xml:space="preserve">          6274 - UTILITIES</v>
      </c>
      <c r="C73" s="11"/>
      <c r="D73" s="6"/>
      <c r="E73" s="2"/>
      <c r="F73" s="7">
        <f t="shared" si="57"/>
        <v>0</v>
      </c>
      <c r="G73" s="2"/>
      <c r="H73" s="6"/>
      <c r="I73" s="2"/>
      <c r="J73" s="7">
        <f t="shared" si="58"/>
        <v>0</v>
      </c>
      <c r="K73" s="2"/>
      <c r="L73" s="6">
        <f t="shared" si="59"/>
        <v>0</v>
      </c>
      <c r="M73" s="2"/>
      <c r="N73" s="7">
        <f t="shared" si="60"/>
        <v>0</v>
      </c>
      <c r="O73" s="11"/>
      <c r="P73" s="6"/>
      <c r="Q73" s="2"/>
      <c r="R73" s="7">
        <f t="shared" si="61"/>
        <v>0</v>
      </c>
      <c r="S73" s="2"/>
      <c r="T73" s="6">
        <v>15.02</v>
      </c>
      <c r="U73" s="2"/>
      <c r="V73" s="7">
        <f t="shared" si="62"/>
        <v>2.0868354169037282E-4</v>
      </c>
      <c r="W73" s="2"/>
      <c r="X73" s="6">
        <f t="shared" si="63"/>
        <v>-15.02</v>
      </c>
      <c r="Y73" s="2"/>
      <c r="Z73" s="7">
        <f t="shared" si="64"/>
        <v>-1</v>
      </c>
    </row>
    <row r="74" spans="1:26" s="56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collapsed="1" x14ac:dyDescent="0.25">
      <c r="A75" s="10"/>
      <c r="B75" s="25" t="s">
        <v>292</v>
      </c>
      <c r="C75" s="10"/>
      <c r="D75" s="4">
        <f>SUM(OSRRefD25x_0)</f>
        <v>0</v>
      </c>
      <c r="E75" s="4"/>
      <c r="F75" s="12">
        <f t="shared" ref="F75:F77" si="65">IF(D$12=0,0,D75/D$12)</f>
        <v>0</v>
      </c>
      <c r="G75" s="4"/>
      <c r="H75" s="4">
        <f>SUM(OSRRefH25x_0)</f>
        <v>6782</v>
      </c>
      <c r="I75" s="4"/>
      <c r="J75" s="12">
        <f t="shared" ref="J75:J77" si="66">IF(H$12=0,0,H75/H$12)</f>
        <v>0.64603335330556289</v>
      </c>
      <c r="K75" s="4"/>
      <c r="L75" s="4">
        <f t="shared" ref="L75:L77" si="67">+D75-H75</f>
        <v>-6782</v>
      </c>
      <c r="M75" s="4"/>
      <c r="N75" s="12">
        <f t="shared" ref="N75:N77" si="68">IF(H75=0,0,L75/H75)</f>
        <v>-1</v>
      </c>
      <c r="O75" s="10"/>
      <c r="P75" s="4">
        <f>SUM(OSRRefP25x_0)</f>
        <v>14899</v>
      </c>
      <c r="Q75" s="4"/>
      <c r="R75" s="12">
        <f t="shared" ref="R75:R77" si="69">IF(P$12=0,0,P75/P$12)</f>
        <v>0.1764847957619958</v>
      </c>
      <c r="S75" s="4"/>
      <c r="T75" s="4">
        <f>SUM(OSRRefT25x_0)</f>
        <v>27128</v>
      </c>
      <c r="U75" s="4"/>
      <c r="V75" s="12">
        <f t="shared" ref="V75:V77" si="70">IF(T$12=0,0,T75/T$12)</f>
        <v>0.37690859646980251</v>
      </c>
      <c r="W75" s="4"/>
      <c r="X75" s="4">
        <f t="shared" ref="X75:X77" si="71">+P75-T75</f>
        <v>-12229</v>
      </c>
      <c r="Y75" s="4"/>
      <c r="Z75" s="12">
        <f t="shared" ref="Z75:Z77" si="72">IF(T75=0,0,X75/T75)</f>
        <v>-0.4507888528457682</v>
      </c>
    </row>
    <row r="76" spans="1:26" s="24" customFormat="1" hidden="1" outlineLevel="1" x14ac:dyDescent="0.25">
      <c r="A76" s="44"/>
      <c r="B76" s="11" t="str">
        <f>CONCATENATE("          ", "9150", " - ", "MISC. INCOME")</f>
        <v xml:space="preserve">          9150 - MISC. INCOME</v>
      </c>
      <c r="C76" s="11"/>
      <c r="D76" s="2">
        <f t="shared" ref="D76:D77" si="73">0</f>
        <v>0</v>
      </c>
      <c r="E76" s="2"/>
      <c r="F76" s="19">
        <f t="shared" si="65"/>
        <v>0</v>
      </c>
      <c r="G76" s="2"/>
      <c r="H76" s="2">
        <f>--6782</f>
        <v>6782</v>
      </c>
      <c r="I76" s="2"/>
      <c r="J76" s="19">
        <f t="shared" si="66"/>
        <v>0.64603335330556289</v>
      </c>
      <c r="K76" s="2"/>
      <c r="L76" s="2">
        <f t="shared" si="67"/>
        <v>-6782</v>
      </c>
      <c r="M76" s="2"/>
      <c r="N76" s="19">
        <f t="shared" si="68"/>
        <v>-1</v>
      </c>
      <c r="O76" s="11"/>
      <c r="P76" s="2">
        <f>--14899</f>
        <v>14899</v>
      </c>
      <c r="Q76" s="2"/>
      <c r="R76" s="19">
        <f t="shared" si="69"/>
        <v>0.1764847957619958</v>
      </c>
      <c r="S76" s="2"/>
      <c r="T76" s="2">
        <f>--27128</f>
        <v>27128</v>
      </c>
      <c r="U76" s="2"/>
      <c r="V76" s="19">
        <f t="shared" si="70"/>
        <v>0.37690859646980251</v>
      </c>
      <c r="W76" s="2"/>
      <c r="X76" s="2">
        <f t="shared" si="71"/>
        <v>-12229</v>
      </c>
      <c r="Y76" s="2"/>
      <c r="Z76" s="19">
        <f t="shared" si="72"/>
        <v>-0.4507888528457682</v>
      </c>
    </row>
    <row r="77" spans="1:26" s="24" customFormat="1" hidden="1" outlineLevel="1" x14ac:dyDescent="0.25">
      <c r="A77" s="44"/>
      <c r="B77" s="11" t="str">
        <f>CONCATENATE("          ", "9163", " - ", "MISC. INCOME")</f>
        <v xml:space="preserve">          9163 - MISC. INCOME</v>
      </c>
      <c r="C77" s="11"/>
      <c r="D77" s="2">
        <f t="shared" si="73"/>
        <v>0</v>
      </c>
      <c r="E77" s="2"/>
      <c r="F77" s="19">
        <f t="shared" si="65"/>
        <v>0</v>
      </c>
      <c r="G77" s="2"/>
      <c r="H77" s="2">
        <f>0</f>
        <v>0</v>
      </c>
      <c r="I77" s="2"/>
      <c r="J77" s="19">
        <f t="shared" si="66"/>
        <v>0</v>
      </c>
      <c r="K77" s="2"/>
      <c r="L77" s="2">
        <f t="shared" si="67"/>
        <v>0</v>
      </c>
      <c r="M77" s="2"/>
      <c r="N77" s="19">
        <f t="shared" si="68"/>
        <v>0</v>
      </c>
      <c r="O77" s="11"/>
      <c r="P77" s="2">
        <f>0</f>
        <v>0</v>
      </c>
      <c r="Q77" s="2"/>
      <c r="R77" s="19">
        <f t="shared" si="69"/>
        <v>0</v>
      </c>
      <c r="S77" s="2"/>
      <c r="T77" s="2">
        <f>0</f>
        <v>0</v>
      </c>
      <c r="U77" s="2"/>
      <c r="V77" s="19">
        <f t="shared" si="70"/>
        <v>0</v>
      </c>
      <c r="W77" s="2"/>
      <c r="X77" s="2">
        <f t="shared" si="71"/>
        <v>0</v>
      </c>
      <c r="Y77" s="2"/>
      <c r="Z77" s="19">
        <f t="shared" si="72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276</v>
      </c>
      <c r="C79" s="26"/>
      <c r="D79" s="22">
        <f>+D29-D31+D75</f>
        <v>-13895.08</v>
      </c>
      <c r="E79" s="13"/>
      <c r="F79" s="20">
        <f>IF(D$12=0,0,D79/D$12)</f>
        <v>-1.4768975020965553</v>
      </c>
      <c r="G79" s="13"/>
      <c r="H79" s="22">
        <f>+H29-H31+H75</f>
        <v>-66669.39999999998</v>
      </c>
      <c r="I79" s="13"/>
      <c r="J79" s="20">
        <f>IF(H$12=0,0,H79/H$12)</f>
        <v>-6.3507307645045534</v>
      </c>
      <c r="K79" s="15"/>
      <c r="L79" s="22">
        <f>+D79-H79</f>
        <v>52774.319999999978</v>
      </c>
      <c r="M79" s="15"/>
      <c r="N79" s="20">
        <f>IF(H79=0,0,L79/H79)</f>
        <v>-0.79158234512384984</v>
      </c>
      <c r="O79" s="25"/>
      <c r="P79" s="22">
        <f>+P29-P31+P75</f>
        <v>-14044.599999999991</v>
      </c>
      <c r="Q79" s="13"/>
      <c r="R79" s="20">
        <f>IF(P$12=0,0,P79/P$12)</f>
        <v>-0.16636407561305622</v>
      </c>
      <c r="S79" s="13"/>
      <c r="T79" s="22">
        <f>+T29-T31+T75</f>
        <v>-21902.680000000022</v>
      </c>
      <c r="U79" s="13"/>
      <c r="V79" s="20">
        <f>IF(T$12=0,0,T79/T$12)</f>
        <v>-0.30430950964786285</v>
      </c>
      <c r="W79" s="15"/>
      <c r="X79" s="22">
        <f>+P79-T79</f>
        <v>7858.0800000000309</v>
      </c>
      <c r="Y79" s="15"/>
      <c r="Z79" s="20">
        <f>IF(T79=0,0,X79/T79)</f>
        <v>-0.35877253377212392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127</v>
      </c>
      <c r="C81" s="10"/>
      <c r="D81" s="4">
        <v>473.63</v>
      </c>
      <c r="E81" s="4"/>
      <c r="F81" s="12">
        <f>IF(D$12=0,0,D81/D$12)</f>
        <v>5.0341773053339131E-2</v>
      </c>
      <c r="G81" s="4"/>
      <c r="H81" s="4">
        <v>4202.3999999999996</v>
      </c>
      <c r="I81" s="4"/>
      <c r="J81" s="12">
        <f>IF(H$12=0,0,H81/H$12)</f>
        <v>0.40030825183298396</v>
      </c>
      <c r="K81" s="4"/>
      <c r="L81" s="4">
        <f>+D81-H81</f>
        <v>-3728.7699999999995</v>
      </c>
      <c r="M81" s="4"/>
      <c r="N81" s="12">
        <f>IF(H81=0,0,L81/H81)</f>
        <v>-0.88729535503521795</v>
      </c>
      <c r="O81" s="10"/>
      <c r="P81" s="4">
        <v>9758.36</v>
      </c>
      <c r="Q81" s="4"/>
      <c r="R81" s="12">
        <f>IF(P$12=0,0,P81/P$12)</f>
        <v>0.11559179619920998</v>
      </c>
      <c r="S81" s="4"/>
      <c r="T81" s="4">
        <v>15591.34</v>
      </c>
      <c r="U81" s="4"/>
      <c r="V81" s="12">
        <f>IF(T$12=0,0,T81/T$12)</f>
        <v>0.2166215746270824</v>
      </c>
      <c r="W81" s="4"/>
      <c r="X81" s="4">
        <f>+P81-T81</f>
        <v>-5832.98</v>
      </c>
      <c r="Y81" s="4"/>
      <c r="Z81" s="12">
        <f>IF(T81=0,0,X81/T81)</f>
        <v>-0.37411665706732067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125</v>
      </c>
      <c r="C83" s="26"/>
      <c r="D83" s="33">
        <f>+D79-D81</f>
        <v>-14368.71</v>
      </c>
      <c r="E83" s="13"/>
      <c r="F83" s="31">
        <f>IF(D$12=0,0,D83/D$12)</f>
        <v>-1.5272392751498944</v>
      </c>
      <c r="G83" s="13"/>
      <c r="H83" s="33">
        <f>+H79-H81</f>
        <v>-70871.799999999974</v>
      </c>
      <c r="I83" s="13"/>
      <c r="J83" s="31">
        <f>IF(H$12=0,0,H83/H$12)</f>
        <v>-6.7510390163375362</v>
      </c>
      <c r="K83" s="15"/>
      <c r="L83" s="33">
        <f>D83-H83</f>
        <v>56503.089999999975</v>
      </c>
      <c r="M83" s="15"/>
      <c r="N83" s="31">
        <f>IF(H83=0,0,L83/H83)</f>
        <v>-0.7972577245110184</v>
      </c>
      <c r="O83" s="25"/>
      <c r="P83" s="33">
        <f>+P79-P81</f>
        <v>-23802.959999999992</v>
      </c>
      <c r="Q83" s="13"/>
      <c r="R83" s="31">
        <f>IF(P$12=0,0,P83/P$12)</f>
        <v>-0.28195587181226622</v>
      </c>
      <c r="S83" s="13"/>
      <c r="T83" s="33">
        <f>+T79-T81</f>
        <v>-37494.020000000019</v>
      </c>
      <c r="U83" s="13"/>
      <c r="V83" s="31">
        <f>IF(T$12=0,0,T83/T$12)</f>
        <v>-0.52093108427494517</v>
      </c>
      <c r="W83" s="15"/>
      <c r="X83" s="33">
        <f>P83-T83</f>
        <v>13691.060000000027</v>
      </c>
      <c r="Y83" s="15"/>
      <c r="Z83" s="31">
        <f>IF(T83=0,0,X83/T83)</f>
        <v>-0.36515316309107476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293</v>
      </c>
      <c r="C86" s="26"/>
      <c r="D86" s="34">
        <f>SUM(D83:D85)</f>
        <v>-14368.71</v>
      </c>
      <c r="E86" s="13"/>
      <c r="F86" s="30">
        <f>IF(D$12=0,0,D86/D$12)</f>
        <v>-1.5272392751498944</v>
      </c>
      <c r="G86" s="13"/>
      <c r="H86" s="34">
        <f>SUM(H83:H85)</f>
        <v>-70871.799999999974</v>
      </c>
      <c r="I86" s="13"/>
      <c r="J86" s="30">
        <f>IF(H$12=0,0,H86/H$12)</f>
        <v>-6.7510390163375362</v>
      </c>
      <c r="K86" s="15"/>
      <c r="L86" s="34">
        <f>+D86-H86</f>
        <v>56503.089999999975</v>
      </c>
      <c r="M86" s="15"/>
      <c r="N86" s="30">
        <f>IF(H86=0,0,L86/H86)</f>
        <v>-0.7972577245110184</v>
      </c>
      <c r="O86" s="25"/>
      <c r="P86" s="34">
        <f>SUM(P83:P85)</f>
        <v>-23802.959999999992</v>
      </c>
      <c r="Q86" s="13"/>
      <c r="R86" s="30">
        <f>IF(P$12=0,0,P86/P$12)</f>
        <v>-0.28195587181226622</v>
      </c>
      <c r="S86" s="13"/>
      <c r="T86" s="34">
        <f>SUM(T83:T85)</f>
        <v>-37494.020000000019</v>
      </c>
      <c r="U86" s="13"/>
      <c r="V86" s="30">
        <f>IF(T$12=0,0,T86/T$12)</f>
        <v>-0.52093108427494517</v>
      </c>
      <c r="W86" s="15"/>
      <c r="X86" s="34">
        <f>+P86-T86</f>
        <v>13691.060000000027</v>
      </c>
      <c r="Y86" s="15"/>
      <c r="Z86" s="30">
        <f>IF(T86=0,0,X86/T86)</f>
        <v>-0.36515316309107476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1">
        <v>44517.966983333332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7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8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9408.2899999999991</v>
      </c>
      <c r="E12" s="4"/>
      <c r="F12" s="12"/>
      <c r="G12" s="4"/>
      <c r="H12" s="4">
        <f>SUM(OSRRefH13x_0)</f>
        <v>10497.909999999998</v>
      </c>
      <c r="I12" s="4"/>
      <c r="J12" s="12"/>
      <c r="K12" s="4"/>
      <c r="L12" s="4">
        <f t="shared" ref="L12:L23" si="0">+D12-H12</f>
        <v>-1089.619999999999</v>
      </c>
      <c r="M12" s="4"/>
      <c r="N12" s="12">
        <f t="shared" ref="N12:N23" si="1">IF(H12=0,0,L12/H12)</f>
        <v>-0.1037939932805672</v>
      </c>
      <c r="O12" s="10"/>
      <c r="P12" s="4">
        <f>SUM(OSRRefP13x_0)</f>
        <v>84420.87000000001</v>
      </c>
      <c r="Q12" s="4"/>
      <c r="R12" s="12"/>
      <c r="S12" s="4"/>
      <c r="T12" s="4">
        <f>SUM(OSRRefT13x_0)</f>
        <v>71975.009999999995</v>
      </c>
      <c r="U12" s="4"/>
      <c r="V12" s="12"/>
      <c r="W12" s="4"/>
      <c r="X12" s="4">
        <f t="shared" ref="X12:X23" si="2">+P12-T12</f>
        <v>12445.860000000015</v>
      </c>
      <c r="Y12" s="4"/>
      <c r="Z12" s="12">
        <f t="shared" ref="Z12:Z23" si="3">IF(T12=0,0,X12/T12)</f>
        <v>0.17291918403345849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--4122.58</f>
        <v>4122.58</v>
      </c>
      <c r="E13" s="2"/>
      <c r="F13" s="19"/>
      <c r="G13" s="2"/>
      <c r="H13" s="2">
        <f>-1.35</f>
        <v>-1.35</v>
      </c>
      <c r="I13" s="2"/>
      <c r="J13" s="19"/>
      <c r="K13" s="2"/>
      <c r="L13" s="2">
        <f t="shared" si="0"/>
        <v>4123.93</v>
      </c>
      <c r="M13" s="2"/>
      <c r="N13" s="19">
        <f t="shared" si="1"/>
        <v>-3054.7629629629628</v>
      </c>
      <c r="O13" s="11"/>
      <c r="P13" s="2">
        <f>--70564.24</f>
        <v>70564.240000000005</v>
      </c>
      <c r="Q13" s="2"/>
      <c r="R13" s="19"/>
      <c r="S13" s="2"/>
      <c r="T13" s="2">
        <f>-8.65</f>
        <v>-8.65</v>
      </c>
      <c r="U13" s="2"/>
      <c r="V13" s="19"/>
      <c r="W13" s="2"/>
      <c r="X13" s="2">
        <f t="shared" si="2"/>
        <v>70572.89</v>
      </c>
      <c r="Y13" s="2"/>
      <c r="Z13" s="19">
        <f t="shared" si="3"/>
        <v>-8158.7156069364155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--8147.55</f>
        <v>8147.55</v>
      </c>
      <c r="I14" s="2"/>
      <c r="J14" s="19"/>
      <c r="K14" s="2"/>
      <c r="L14" s="2">
        <f t="shared" si="0"/>
        <v>-8147.55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--60369.32</f>
        <v>60369.32</v>
      </c>
      <c r="U14" s="2"/>
      <c r="V14" s="19"/>
      <c r="W14" s="2"/>
      <c r="X14" s="2">
        <f t="shared" si="2"/>
        <v>-60369.32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--2053.86</f>
        <v>2053.86</v>
      </c>
      <c r="I15" s="2"/>
      <c r="J15" s="19"/>
      <c r="K15" s="2"/>
      <c r="L15" s="2">
        <f t="shared" si="0"/>
        <v>-2053.86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--11487.58</f>
        <v>11487.58</v>
      </c>
      <c r="U15" s="2"/>
      <c r="V15" s="19"/>
      <c r="W15" s="2"/>
      <c r="X15" s="2">
        <f t="shared" si="2"/>
        <v>-11487.58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--7.98</f>
        <v>7.98</v>
      </c>
      <c r="U16" s="2"/>
      <c r="V16" s="19"/>
      <c r="W16" s="2"/>
      <c r="X16" s="2">
        <f t="shared" si="2"/>
        <v>-7.98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--13252.81</f>
        <v>13252.81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13252.81</v>
      </c>
      <c r="M17" s="2"/>
      <c r="N17" s="19">
        <f t="shared" si="1"/>
        <v>0</v>
      </c>
      <c r="O17" s="11"/>
      <c r="P17" s="2">
        <f>--14259.63</f>
        <v>14259.63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14259.63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-460.55</f>
        <v>-460.55</v>
      </c>
      <c r="E18" s="2"/>
      <c r="F18" s="19"/>
      <c r="G18" s="2"/>
      <c r="H18" s="2">
        <f>--54</f>
        <v>54</v>
      </c>
      <c r="I18" s="2"/>
      <c r="J18" s="19"/>
      <c r="K18" s="2"/>
      <c r="L18" s="2">
        <f t="shared" si="0"/>
        <v>-514.54999999999995</v>
      </c>
      <c r="M18" s="2"/>
      <c r="N18" s="19">
        <f t="shared" si="1"/>
        <v>-9.5287037037037035</v>
      </c>
      <c r="O18" s="11"/>
      <c r="P18" s="2">
        <f t="shared" ref="P18:P21" si="7">0</f>
        <v>0</v>
      </c>
      <c r="Q18" s="2"/>
      <c r="R18" s="19"/>
      <c r="S18" s="2"/>
      <c r="T18" s="2">
        <f>--511.5</f>
        <v>511.5</v>
      </c>
      <c r="U18" s="2"/>
      <c r="V18" s="19"/>
      <c r="W18" s="2"/>
      <c r="X18" s="2">
        <f t="shared" si="2"/>
        <v>-511.5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--245</f>
        <v>245</v>
      </c>
      <c r="I19" s="2"/>
      <c r="J19" s="19"/>
      <c r="K19" s="2"/>
      <c r="L19" s="2">
        <f t="shared" si="0"/>
        <v>-245</v>
      </c>
      <c r="M19" s="2"/>
      <c r="N19" s="19">
        <f t="shared" si="1"/>
        <v>-1</v>
      </c>
      <c r="O19" s="11"/>
      <c r="P19" s="2">
        <f t="shared" si="7"/>
        <v>0</v>
      </c>
      <c r="Q19" s="2"/>
      <c r="R19" s="19"/>
      <c r="S19" s="2"/>
      <c r="T19" s="2">
        <f>--250.98</f>
        <v>250.98</v>
      </c>
      <c r="U19" s="2"/>
      <c r="V19" s="19"/>
      <c r="W19" s="2"/>
      <c r="X19" s="2">
        <f t="shared" si="2"/>
        <v>-250.98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-7492.95</f>
        <v>-7492.95</v>
      </c>
      <c r="E20" s="2"/>
      <c r="F20" s="19"/>
      <c r="G20" s="2"/>
      <c r="H20" s="2">
        <f>--21.3</f>
        <v>21.3</v>
      </c>
      <c r="I20" s="2"/>
      <c r="J20" s="19"/>
      <c r="K20" s="2"/>
      <c r="L20" s="2">
        <f t="shared" si="0"/>
        <v>-7514.25</v>
      </c>
      <c r="M20" s="2"/>
      <c r="N20" s="19">
        <f t="shared" si="1"/>
        <v>-352.78169014084506</v>
      </c>
      <c r="O20" s="11"/>
      <c r="P20" s="2">
        <f t="shared" si="7"/>
        <v>0</v>
      </c>
      <c r="Q20" s="2"/>
      <c r="R20" s="19"/>
      <c r="S20" s="2"/>
      <c r="T20" s="2">
        <f t="shared" ref="T20:T21" si="8">--86.5</f>
        <v>86.5</v>
      </c>
      <c r="U20" s="2"/>
      <c r="V20" s="19"/>
      <c r="W20" s="2"/>
      <c r="X20" s="2">
        <f t="shared" si="2"/>
        <v>-86.5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0</f>
        <v>0</v>
      </c>
      <c r="E21" s="2"/>
      <c r="F21" s="19"/>
      <c r="G21" s="2"/>
      <c r="H21" s="2">
        <f>--38.5</f>
        <v>38.5</v>
      </c>
      <c r="I21" s="2"/>
      <c r="J21" s="19"/>
      <c r="K21" s="2"/>
      <c r="L21" s="2">
        <f t="shared" si="0"/>
        <v>-38.5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 t="shared" si="8"/>
        <v>86.5</v>
      </c>
      <c r="U21" s="2"/>
      <c r="V21" s="19"/>
      <c r="W21" s="2"/>
      <c r="X21" s="2">
        <f t="shared" si="2"/>
        <v>-86.5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-13.6</f>
        <v>-13.6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-13.6</v>
      </c>
      <c r="M22" s="2"/>
      <c r="N22" s="19">
        <f t="shared" si="1"/>
        <v>0</v>
      </c>
      <c r="O22" s="11"/>
      <c r="P22" s="2">
        <f>-403</f>
        <v>-403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-403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0</f>
        <v>0</v>
      </c>
      <c r="E23" s="2"/>
      <c r="F23" s="19"/>
      <c r="G23" s="2"/>
      <c r="H23" s="2">
        <f>-60.95</f>
        <v>-60.95</v>
      </c>
      <c r="I23" s="2"/>
      <c r="J23" s="19"/>
      <c r="K23" s="2"/>
      <c r="L23" s="2">
        <f t="shared" si="0"/>
        <v>60.95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-816.7</f>
        <v>-816.7</v>
      </c>
      <c r="U23" s="2"/>
      <c r="V23" s="19"/>
      <c r="W23" s="2"/>
      <c r="X23" s="2">
        <f t="shared" si="2"/>
        <v>816.7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256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107</v>
      </c>
      <c r="C27" s="26"/>
      <c r="D27" s="22">
        <f>D12-D25</f>
        <v>9408.2899999999991</v>
      </c>
      <c r="E27" s="13"/>
      <c r="F27" s="20">
        <f>IF(D$12=0,0,D27/D$12)</f>
        <v>1</v>
      </c>
      <c r="G27" s="13"/>
      <c r="H27" s="22">
        <f>H12-H25</f>
        <v>10497.909999999998</v>
      </c>
      <c r="I27" s="13"/>
      <c r="J27" s="20">
        <f>IF(H$12=0,0,H27/H$12)</f>
        <v>1</v>
      </c>
      <c r="K27" s="15"/>
      <c r="L27" s="22">
        <f>+D27-H27</f>
        <v>-1089.619999999999</v>
      </c>
      <c r="M27" s="15"/>
      <c r="N27" s="20">
        <f>IF(H27=0,0,L27/H27)</f>
        <v>-0.1037939932805672</v>
      </c>
      <c r="O27" s="25"/>
      <c r="P27" s="22">
        <f>P12-P25</f>
        <v>84420.87000000001</v>
      </c>
      <c r="Q27" s="13"/>
      <c r="R27" s="20">
        <f>IF(P$12=0,0,P27/P$12)</f>
        <v>1</v>
      </c>
      <c r="S27" s="13"/>
      <c r="T27" s="22">
        <f>T12-T25</f>
        <v>71975.009999999995</v>
      </c>
      <c r="U27" s="13"/>
      <c r="V27" s="20">
        <f>IF(T$12=0,0,T27/T$12)</f>
        <v>1</v>
      </c>
      <c r="W27" s="15"/>
      <c r="X27" s="22">
        <f>+P27-T27</f>
        <v>12445.860000000015</v>
      </c>
      <c r="Y27" s="15"/>
      <c r="Z27" s="20">
        <f>IF(T27=0,0,X27/T27)</f>
        <v>0.17291918403345849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294</v>
      </c>
      <c r="C29" s="10"/>
      <c r="D29" s="21">
        <f>SUM(OSRRefD22x_0)</f>
        <v>23303.37</v>
      </c>
      <c r="E29" s="21"/>
      <c r="F29" s="36">
        <f t="shared" ref="F29:F38" si="9">IF(D$12=0,0,D29/D$12)</f>
        <v>2.4768975020965556</v>
      </c>
      <c r="G29" s="21"/>
      <c r="H29" s="21">
        <f>SUM(OSRRefH22x_0)</f>
        <v>83949.309999999983</v>
      </c>
      <c r="I29" s="21"/>
      <c r="J29" s="36">
        <f t="shared" ref="J29:J38" si="10">IF(H$12=0,0,H29/H$12)</f>
        <v>7.9967641178101161</v>
      </c>
      <c r="K29" s="4"/>
      <c r="L29" s="21">
        <f t="shared" ref="L29:L38" si="11">+D29-H29</f>
        <v>-60645.939999999988</v>
      </c>
      <c r="M29" s="4"/>
      <c r="N29" s="36">
        <f t="shared" ref="N29:N38" si="12">IF(H29=0,0,L29/H29)</f>
        <v>-0.72241141708014034</v>
      </c>
      <c r="O29" s="10"/>
      <c r="P29" s="21">
        <f>SUM(OSRRefP22x_0)</f>
        <v>113364.47</v>
      </c>
      <c r="Q29" s="21"/>
      <c r="R29" s="36">
        <f t="shared" ref="R29:R38" si="13">IF(P$12=0,0,P29/P$12)</f>
        <v>1.3428488713750519</v>
      </c>
      <c r="S29" s="21"/>
      <c r="T29" s="21">
        <f>SUM(OSRRefT22x_0)</f>
        <v>121005.69000000002</v>
      </c>
      <c r="U29" s="21"/>
      <c r="V29" s="36">
        <f t="shared" ref="V29:V38" si="14">IF(T$12=0,0,T29/T$12)</f>
        <v>1.6812181061176654</v>
      </c>
      <c r="W29" s="4"/>
      <c r="X29" s="21">
        <f t="shared" ref="X29:X38" si="15">+P29-T29</f>
        <v>-7641.2200000000157</v>
      </c>
      <c r="Y29" s="4"/>
      <c r="Z29" s="36">
        <f t="shared" ref="Z29:Z38" si="16">IF(T29=0,0,X29/T29)</f>
        <v>-6.314760900913019E-2</v>
      </c>
    </row>
    <row r="30" spans="1:26" s="28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10120.960000000001</v>
      </c>
      <c r="E30" s="1"/>
      <c r="F30" s="5">
        <f t="shared" si="9"/>
        <v>1.0757491531404753</v>
      </c>
      <c r="G30" s="1"/>
      <c r="H30" s="1">
        <f>SUM(OSRRefH22_0x_0)</f>
        <v>10414.129999999999</v>
      </c>
      <c r="I30" s="1"/>
      <c r="J30" s="5">
        <f t="shared" si="10"/>
        <v>0.99201936385432921</v>
      </c>
      <c r="K30" s="1"/>
      <c r="L30" s="1">
        <f t="shared" si="11"/>
        <v>-293.16999999999825</v>
      </c>
      <c r="M30" s="1"/>
      <c r="N30" s="5">
        <f t="shared" si="12"/>
        <v>-2.8151175374226966E-2</v>
      </c>
      <c r="O30" s="14"/>
      <c r="P30" s="1">
        <f>SUM(OSRRefP22_0x_0)</f>
        <v>36420.71</v>
      </c>
      <c r="Q30" s="1"/>
      <c r="R30" s="5">
        <f t="shared" si="13"/>
        <v>0.43141832108576939</v>
      </c>
      <c r="S30" s="1"/>
      <c r="T30" s="1">
        <f>SUM(OSRRefT22_0x_0)</f>
        <v>36273.040000000001</v>
      </c>
      <c r="U30" s="1"/>
      <c r="V30" s="5">
        <f t="shared" si="14"/>
        <v>0.50396714081734761</v>
      </c>
      <c r="W30" s="1"/>
      <c r="X30" s="1">
        <f t="shared" si="15"/>
        <v>147.66999999999825</v>
      </c>
      <c r="Y30" s="1"/>
      <c r="Z30" s="5">
        <f t="shared" si="16"/>
        <v>4.0710676579630012E-3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6">
        <v>1811.85</v>
      </c>
      <c r="E31" s="2"/>
      <c r="F31" s="7">
        <f t="shared" si="9"/>
        <v>0.19258016068807404</v>
      </c>
      <c r="G31" s="2"/>
      <c r="H31" s="6">
        <v>2004</v>
      </c>
      <c r="I31" s="2"/>
      <c r="J31" s="7">
        <f t="shared" si="10"/>
        <v>0.19089514008026362</v>
      </c>
      <c r="K31" s="2"/>
      <c r="L31" s="6">
        <f t="shared" si="11"/>
        <v>-192.15000000000009</v>
      </c>
      <c r="M31" s="2"/>
      <c r="N31" s="7">
        <f t="shared" si="12"/>
        <v>-9.5883233532934181E-2</v>
      </c>
      <c r="O31" s="11"/>
      <c r="P31" s="6">
        <v>5691.59</v>
      </c>
      <c r="Q31" s="2"/>
      <c r="R31" s="7">
        <f t="shared" si="13"/>
        <v>6.7419229391973798E-2</v>
      </c>
      <c r="S31" s="2"/>
      <c r="T31" s="6">
        <v>5558.26</v>
      </c>
      <c r="U31" s="2"/>
      <c r="V31" s="7">
        <f t="shared" si="14"/>
        <v>7.7224859017039391E-2</v>
      </c>
      <c r="W31" s="2"/>
      <c r="X31" s="6">
        <f t="shared" si="15"/>
        <v>133.32999999999993</v>
      </c>
      <c r="Y31" s="2"/>
      <c r="Z31" s="7">
        <f t="shared" si="16"/>
        <v>2.398772277655236E-2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6">
        <v>441.7</v>
      </c>
      <c r="E32" s="2"/>
      <c r="F32" s="7">
        <f t="shared" si="9"/>
        <v>4.6947957599096118E-2</v>
      </c>
      <c r="G32" s="2"/>
      <c r="H32" s="6">
        <v>308.31</v>
      </c>
      <c r="I32" s="2"/>
      <c r="J32" s="7">
        <f t="shared" si="10"/>
        <v>2.9368702913246548E-2</v>
      </c>
      <c r="K32" s="2"/>
      <c r="L32" s="6">
        <f t="shared" si="11"/>
        <v>133.38999999999999</v>
      </c>
      <c r="M32" s="2"/>
      <c r="N32" s="7">
        <f t="shared" si="12"/>
        <v>0.43264895721838403</v>
      </c>
      <c r="O32" s="11"/>
      <c r="P32" s="6">
        <v>1270.17</v>
      </c>
      <c r="Q32" s="2"/>
      <c r="R32" s="7">
        <f t="shared" si="13"/>
        <v>1.5045687162427962E-2</v>
      </c>
      <c r="S32" s="2"/>
      <c r="T32" s="6">
        <v>1230.6500000000001</v>
      </c>
      <c r="U32" s="2"/>
      <c r="V32" s="7">
        <f t="shared" si="14"/>
        <v>1.7098295644557747E-2</v>
      </c>
      <c r="W32" s="2"/>
      <c r="X32" s="6">
        <f t="shared" si="15"/>
        <v>39.519999999999982</v>
      </c>
      <c r="Y32" s="2"/>
      <c r="Z32" s="7">
        <f t="shared" si="16"/>
        <v>3.2113110957624001E-2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6">
        <v>3410.23</v>
      </c>
      <c r="E33" s="2"/>
      <c r="F33" s="7">
        <f t="shared" si="9"/>
        <v>0.36247075717266369</v>
      </c>
      <c r="G33" s="2"/>
      <c r="H33" s="6">
        <v>3423.78</v>
      </c>
      <c r="I33" s="2"/>
      <c r="J33" s="7">
        <f t="shared" si="10"/>
        <v>0.32613920294611032</v>
      </c>
      <c r="K33" s="2"/>
      <c r="L33" s="6">
        <f t="shared" si="11"/>
        <v>-13.550000000000182</v>
      </c>
      <c r="M33" s="2"/>
      <c r="N33" s="7">
        <f t="shared" si="12"/>
        <v>-3.95761409903679E-3</v>
      </c>
      <c r="O33" s="11"/>
      <c r="P33" s="6">
        <v>13674.67</v>
      </c>
      <c r="Q33" s="2"/>
      <c r="R33" s="7">
        <f t="shared" si="13"/>
        <v>0.16198210229295196</v>
      </c>
      <c r="S33" s="2"/>
      <c r="T33" s="6">
        <v>12893.77</v>
      </c>
      <c r="U33" s="2"/>
      <c r="V33" s="7">
        <f t="shared" si="14"/>
        <v>0.17914231620113705</v>
      </c>
      <c r="W33" s="2"/>
      <c r="X33" s="6">
        <f t="shared" si="15"/>
        <v>780.89999999999964</v>
      </c>
      <c r="Y33" s="2"/>
      <c r="Z33" s="7">
        <f t="shared" si="16"/>
        <v>6.0564132910700251E-2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6">
        <v>77.599999999999994</v>
      </c>
      <c r="E34" s="2"/>
      <c r="F34" s="7">
        <f t="shared" si="9"/>
        <v>8.2480450751411787E-3</v>
      </c>
      <c r="G34" s="2"/>
      <c r="H34" s="6">
        <v>43.33</v>
      </c>
      <c r="I34" s="2"/>
      <c r="J34" s="7">
        <f t="shared" si="10"/>
        <v>4.1274882333721674E-3</v>
      </c>
      <c r="K34" s="2"/>
      <c r="L34" s="6">
        <f t="shared" si="11"/>
        <v>34.269999999999996</v>
      </c>
      <c r="M34" s="2"/>
      <c r="N34" s="7">
        <f t="shared" si="12"/>
        <v>0.7909069928456034</v>
      </c>
      <c r="O34" s="11"/>
      <c r="P34" s="6">
        <v>223.14</v>
      </c>
      <c r="Q34" s="2"/>
      <c r="R34" s="7">
        <f t="shared" si="13"/>
        <v>2.6431852692349648E-3</v>
      </c>
      <c r="S34" s="2"/>
      <c r="T34" s="6">
        <v>172.95</v>
      </c>
      <c r="U34" s="2"/>
      <c r="V34" s="7">
        <f t="shared" si="14"/>
        <v>2.4029173458954712E-3</v>
      </c>
      <c r="W34" s="2"/>
      <c r="X34" s="6">
        <f t="shared" si="15"/>
        <v>50.19</v>
      </c>
      <c r="Y34" s="2"/>
      <c r="Z34" s="7">
        <f t="shared" si="16"/>
        <v>0.29019947961838682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6">
        <v>2386.1799999999998</v>
      </c>
      <c r="E35" s="2"/>
      <c r="F35" s="7">
        <f t="shared" si="9"/>
        <v>0.25362526027577809</v>
      </c>
      <c r="G35" s="2"/>
      <c r="H35" s="6">
        <v>1202.9100000000001</v>
      </c>
      <c r="I35" s="2"/>
      <c r="J35" s="7">
        <f t="shared" si="10"/>
        <v>0.1145856651466816</v>
      </c>
      <c r="K35" s="2"/>
      <c r="L35" s="6">
        <f t="shared" si="11"/>
        <v>1183.2699999999998</v>
      </c>
      <c r="M35" s="2"/>
      <c r="N35" s="7">
        <f t="shared" si="12"/>
        <v>0.98367292648660309</v>
      </c>
      <c r="O35" s="11"/>
      <c r="P35" s="6">
        <v>7158.55</v>
      </c>
      <c r="Q35" s="2"/>
      <c r="R35" s="7">
        <f t="shared" si="13"/>
        <v>8.4795975213238145E-2</v>
      </c>
      <c r="S35" s="2"/>
      <c r="T35" s="6">
        <v>6498.27</v>
      </c>
      <c r="U35" s="2"/>
      <c r="V35" s="7">
        <f t="shared" si="14"/>
        <v>9.0285086448754936E-2</v>
      </c>
      <c r="W35" s="2"/>
      <c r="X35" s="6">
        <f t="shared" si="15"/>
        <v>660.27999999999975</v>
      </c>
      <c r="Y35" s="2"/>
      <c r="Z35" s="7">
        <f t="shared" si="16"/>
        <v>0.10160858197643369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6">
        <v>834.2</v>
      </c>
      <c r="E36" s="2"/>
      <c r="F36" s="7">
        <f t="shared" si="9"/>
        <v>8.8666484557767683E-2</v>
      </c>
      <c r="G36" s="2"/>
      <c r="H36" s="6">
        <v>1824.15</v>
      </c>
      <c r="I36" s="2"/>
      <c r="J36" s="7">
        <f t="shared" si="10"/>
        <v>0.17376315857156333</v>
      </c>
      <c r="K36" s="2"/>
      <c r="L36" s="6">
        <f t="shared" si="11"/>
        <v>-989.95</v>
      </c>
      <c r="M36" s="2"/>
      <c r="N36" s="7">
        <f t="shared" si="12"/>
        <v>-0.54269111641038292</v>
      </c>
      <c r="O36" s="11"/>
      <c r="P36" s="6">
        <v>3963.92</v>
      </c>
      <c r="Q36" s="2"/>
      <c r="R36" s="7">
        <f t="shared" si="13"/>
        <v>4.6954266166648127E-2</v>
      </c>
      <c r="S36" s="2"/>
      <c r="T36" s="6">
        <v>5235.2299999999996</v>
      </c>
      <c r="U36" s="2"/>
      <c r="V36" s="7">
        <f t="shared" si="14"/>
        <v>7.2736773499579924E-2</v>
      </c>
      <c r="W36" s="2"/>
      <c r="X36" s="6">
        <f t="shared" si="15"/>
        <v>-1271.3099999999995</v>
      </c>
      <c r="Y36" s="2"/>
      <c r="Z36" s="7">
        <f t="shared" si="16"/>
        <v>-0.24283746845888329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6">
        <v>591.51</v>
      </c>
      <c r="E37" s="2"/>
      <c r="F37" s="7">
        <f t="shared" si="9"/>
        <v>6.2871148742226282E-2</v>
      </c>
      <c r="G37" s="2"/>
      <c r="H37" s="6">
        <v>1107.75</v>
      </c>
      <c r="I37" s="2"/>
      <c r="J37" s="7">
        <f t="shared" si="10"/>
        <v>0.10552100370454692</v>
      </c>
      <c r="K37" s="2"/>
      <c r="L37" s="6">
        <f t="shared" si="11"/>
        <v>-516.24</v>
      </c>
      <c r="M37" s="2"/>
      <c r="N37" s="7">
        <f t="shared" si="12"/>
        <v>-0.46602572782667573</v>
      </c>
      <c r="O37" s="11"/>
      <c r="P37" s="6">
        <v>2634.93</v>
      </c>
      <c r="Q37" s="2"/>
      <c r="R37" s="7">
        <f t="shared" si="13"/>
        <v>3.1211831861007823E-2</v>
      </c>
      <c r="S37" s="2"/>
      <c r="T37" s="6">
        <v>3217.27</v>
      </c>
      <c r="U37" s="2"/>
      <c r="V37" s="7">
        <f t="shared" si="14"/>
        <v>4.4699820118121555E-2</v>
      </c>
      <c r="W37" s="2"/>
      <c r="X37" s="6">
        <f t="shared" si="15"/>
        <v>-582.34000000000015</v>
      </c>
      <c r="Y37" s="2"/>
      <c r="Z37" s="7">
        <f t="shared" si="16"/>
        <v>-0.18100439192234413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6">
        <v>567.69000000000005</v>
      </c>
      <c r="E38" s="2"/>
      <c r="F38" s="7">
        <f t="shared" si="9"/>
        <v>6.0339339029728052E-2</v>
      </c>
      <c r="G38" s="2"/>
      <c r="H38" s="6">
        <v>499.9</v>
      </c>
      <c r="I38" s="2"/>
      <c r="J38" s="7">
        <f t="shared" si="10"/>
        <v>4.7619002258544804E-2</v>
      </c>
      <c r="K38" s="2"/>
      <c r="L38" s="6">
        <f t="shared" si="11"/>
        <v>67.790000000000077</v>
      </c>
      <c r="M38" s="2"/>
      <c r="N38" s="7">
        <f t="shared" si="12"/>
        <v>0.13560712142428502</v>
      </c>
      <c r="O38" s="11"/>
      <c r="P38" s="6">
        <v>1803.74</v>
      </c>
      <c r="Q38" s="2"/>
      <c r="R38" s="7">
        <f t="shared" si="13"/>
        <v>2.1366043728286616E-2</v>
      </c>
      <c r="S38" s="2"/>
      <c r="T38" s="6">
        <v>1466.64</v>
      </c>
      <c r="U38" s="2"/>
      <c r="V38" s="7">
        <f t="shared" si="14"/>
        <v>2.0377072542261548E-2</v>
      </c>
      <c r="W38" s="2"/>
      <c r="X38" s="6">
        <f t="shared" si="15"/>
        <v>337.09999999999991</v>
      </c>
      <c r="Y38" s="2"/>
      <c r="Z38" s="7">
        <f t="shared" si="16"/>
        <v>0.2298450880925107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22697.439999999999</v>
      </c>
      <c r="E39" s="1"/>
      <c r="F39" s="5">
        <f t="shared" ref="F39:F42" si="17">IF(D$12=0,0,D39/D$12)</f>
        <v>2.4124936625040259</v>
      </c>
      <c r="G39" s="1"/>
      <c r="H39" s="1">
        <f>SUM(OSRRefH22_1x_0)</f>
        <v>15617.39</v>
      </c>
      <c r="I39" s="1"/>
      <c r="J39" s="5">
        <f t="shared" ref="J39:J42" si="18">IF(H$12=0,0,H39/H$12)</f>
        <v>1.4876665926836867</v>
      </c>
      <c r="K39" s="1"/>
      <c r="L39" s="1">
        <f t="shared" ref="L39:L42" si="19">+D39-H39</f>
        <v>7080.0499999999993</v>
      </c>
      <c r="M39" s="1"/>
      <c r="N39" s="5">
        <f t="shared" ref="N39:N42" si="20">IF(H39=0,0,L39/H39)</f>
        <v>0.45334399666013331</v>
      </c>
      <c r="O39" s="14"/>
      <c r="P39" s="1">
        <f>SUM(OSRRefP22_1x_0)</f>
        <v>77258.540000000008</v>
      </c>
      <c r="Q39" s="1"/>
      <c r="R39" s="5">
        <f t="shared" ref="R39:R42" si="21">IF(P$12=0,0,P39/P$12)</f>
        <v>0.91515924912879953</v>
      </c>
      <c r="S39" s="1"/>
      <c r="T39" s="1">
        <f>SUM(OSRRefT22_1x_0)</f>
        <v>60168.05</v>
      </c>
      <c r="U39" s="1"/>
      <c r="V39" s="5">
        <f t="shared" ref="V39:V42" si="22">IF(T$12=0,0,T39/T$12)</f>
        <v>0.83595750802952318</v>
      </c>
      <c r="W39" s="1"/>
      <c r="X39" s="1">
        <f t="shared" ref="X39:X42" si="23">+P39-T39</f>
        <v>17090.490000000005</v>
      </c>
      <c r="Y39" s="1"/>
      <c r="Z39" s="5">
        <f t="shared" ref="Z39:Z42" si="24">IF(T39=0,0,X39/T39)</f>
        <v>0.28404593467795625</v>
      </c>
    </row>
    <row r="40" spans="1:26" s="24" customFormat="1" hidden="1" outlineLevel="2" x14ac:dyDescent="0.25">
      <c r="A40" s="29"/>
      <c r="B40" s="11" t="str">
        <f>CONCATENATE("          ", "6002", " - ", "STAFF SALARIES")</f>
        <v xml:space="preserve">          6002 - STAFF SALARIES</v>
      </c>
      <c r="C40" s="11"/>
      <c r="D40" s="6">
        <v>19378.57</v>
      </c>
      <c r="E40" s="2"/>
      <c r="F40" s="7">
        <f t="shared" si="17"/>
        <v>2.0597334903579716</v>
      </c>
      <c r="G40" s="2"/>
      <c r="H40" s="6">
        <v>14754.47</v>
      </c>
      <c r="I40" s="2"/>
      <c r="J40" s="7">
        <f t="shared" si="18"/>
        <v>1.4054673739820596</v>
      </c>
      <c r="K40" s="2"/>
      <c r="L40" s="6">
        <f t="shared" si="19"/>
        <v>4624.1000000000004</v>
      </c>
      <c r="M40" s="2"/>
      <c r="N40" s="7">
        <f t="shared" si="20"/>
        <v>0.31340332794061737</v>
      </c>
      <c r="O40" s="11"/>
      <c r="P40" s="6">
        <v>68197.710000000006</v>
      </c>
      <c r="Q40" s="2"/>
      <c r="R40" s="7">
        <f t="shared" si="21"/>
        <v>0.80782998327309352</v>
      </c>
      <c r="S40" s="2"/>
      <c r="T40" s="6">
        <v>56768.43</v>
      </c>
      <c r="U40" s="2"/>
      <c r="V40" s="7">
        <f t="shared" si="22"/>
        <v>0.78872416968056003</v>
      </c>
      <c r="W40" s="2"/>
      <c r="X40" s="6">
        <f t="shared" si="23"/>
        <v>11429.280000000006</v>
      </c>
      <c r="Y40" s="2"/>
      <c r="Z40" s="7">
        <f t="shared" si="24"/>
        <v>0.20133162040944247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17"/>
        <v>0</v>
      </c>
      <c r="G41" s="2"/>
      <c r="H41" s="6"/>
      <c r="I41" s="2"/>
      <c r="J41" s="7">
        <f t="shared" si="18"/>
        <v>0</v>
      </c>
      <c r="K41" s="2"/>
      <c r="L41" s="6">
        <f t="shared" si="19"/>
        <v>0</v>
      </c>
      <c r="M41" s="2"/>
      <c r="N41" s="7">
        <f t="shared" si="20"/>
        <v>0</v>
      </c>
      <c r="O41" s="11"/>
      <c r="P41" s="6"/>
      <c r="Q41" s="2"/>
      <c r="R41" s="7">
        <f t="shared" si="21"/>
        <v>0</v>
      </c>
      <c r="S41" s="2"/>
      <c r="T41" s="6">
        <v>383.25</v>
      </c>
      <c r="U41" s="2"/>
      <c r="V41" s="7">
        <f t="shared" si="22"/>
        <v>5.3247648037839804E-3</v>
      </c>
      <c r="W41" s="2"/>
      <c r="X41" s="6">
        <f t="shared" si="23"/>
        <v>-383.25</v>
      </c>
      <c r="Y41" s="2"/>
      <c r="Z41" s="7">
        <f t="shared" si="24"/>
        <v>-1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6">
        <v>3318.87</v>
      </c>
      <c r="E42" s="2"/>
      <c r="F42" s="7">
        <f t="shared" si="17"/>
        <v>0.35276017214605421</v>
      </c>
      <c r="G42" s="2"/>
      <c r="H42" s="6">
        <v>862.92</v>
      </c>
      <c r="I42" s="2"/>
      <c r="J42" s="7">
        <f t="shared" si="18"/>
        <v>8.2199218701627288E-2</v>
      </c>
      <c r="K42" s="2"/>
      <c r="L42" s="6">
        <f t="shared" si="19"/>
        <v>2455.9499999999998</v>
      </c>
      <c r="M42" s="2"/>
      <c r="N42" s="7">
        <f t="shared" si="20"/>
        <v>2.8460923376442775</v>
      </c>
      <c r="O42" s="11"/>
      <c r="P42" s="6">
        <v>9060.83</v>
      </c>
      <c r="Q42" s="2"/>
      <c r="R42" s="7">
        <f t="shared" si="21"/>
        <v>0.10732926585570604</v>
      </c>
      <c r="S42" s="2"/>
      <c r="T42" s="6">
        <v>3016.37</v>
      </c>
      <c r="U42" s="2"/>
      <c r="V42" s="7">
        <f t="shared" si="22"/>
        <v>4.1908573545179087E-2</v>
      </c>
      <c r="W42" s="2"/>
      <c r="X42" s="6">
        <f t="shared" si="23"/>
        <v>6044.46</v>
      </c>
      <c r="Y42" s="2"/>
      <c r="Z42" s="7">
        <f t="shared" si="24"/>
        <v>2.0038854649794291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97.75</v>
      </c>
      <c r="E43" s="1"/>
      <c r="F43" s="5">
        <f t="shared" ref="F43:F53" si="25">IF(D$12=0,0,D43/D$12)</f>
        <v>1.0389773274420751E-2</v>
      </c>
      <c r="G43" s="1"/>
      <c r="H43" s="1">
        <f>SUM(OSRRefH22_2x_0)</f>
        <v>0</v>
      </c>
      <c r="I43" s="1"/>
      <c r="J43" s="5">
        <f t="shared" ref="J43:J53" si="26">IF(H$12=0,0,H43/H$12)</f>
        <v>0</v>
      </c>
      <c r="K43" s="1"/>
      <c r="L43" s="1">
        <f t="shared" ref="L43:L53" si="27">+D43-H43</f>
        <v>97.75</v>
      </c>
      <c r="M43" s="1"/>
      <c r="N43" s="5">
        <f t="shared" ref="N43:N53" si="28">IF(H43=0,0,L43/H43)</f>
        <v>0</v>
      </c>
      <c r="O43" s="14"/>
      <c r="P43" s="1">
        <f>SUM(OSRRefP22_2x_0)</f>
        <v>97.75</v>
      </c>
      <c r="Q43" s="1"/>
      <c r="R43" s="5">
        <f t="shared" ref="R43:R53" si="29">IF(P$12=0,0,P43/P$12)</f>
        <v>1.1578890385754138E-3</v>
      </c>
      <c r="S43" s="1"/>
      <c r="T43" s="1">
        <f>SUM(OSRRefT22_2x_0)</f>
        <v>0</v>
      </c>
      <c r="U43" s="1"/>
      <c r="V43" s="5">
        <f t="shared" ref="V43:V53" si="30">IF(T$12=0,0,T43/T$12)</f>
        <v>0</v>
      </c>
      <c r="W43" s="1"/>
      <c r="X43" s="1">
        <f t="shared" ref="X43:X53" si="31">+P43-T43</f>
        <v>97.75</v>
      </c>
      <c r="Y43" s="1"/>
      <c r="Z43" s="5">
        <f t="shared" ref="Z43:Z53" si="32">IF(T43=0,0,X43/T43)</f>
        <v>0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6">
        <v>97.75</v>
      </c>
      <c r="E44" s="2"/>
      <c r="F44" s="7">
        <f t="shared" si="25"/>
        <v>1.0389773274420751E-2</v>
      </c>
      <c r="G44" s="2"/>
      <c r="H44" s="6"/>
      <c r="I44" s="2"/>
      <c r="J44" s="7">
        <f t="shared" si="26"/>
        <v>0</v>
      </c>
      <c r="K44" s="2"/>
      <c r="L44" s="6">
        <f t="shared" si="27"/>
        <v>97.75</v>
      </c>
      <c r="M44" s="2"/>
      <c r="N44" s="7">
        <f t="shared" si="28"/>
        <v>0</v>
      </c>
      <c r="O44" s="11"/>
      <c r="P44" s="6">
        <v>97.75</v>
      </c>
      <c r="Q44" s="2"/>
      <c r="R44" s="7">
        <f t="shared" si="29"/>
        <v>1.1578890385754138E-3</v>
      </c>
      <c r="S44" s="2"/>
      <c r="T44" s="6"/>
      <c r="U44" s="2"/>
      <c r="V44" s="7">
        <f t="shared" si="30"/>
        <v>0</v>
      </c>
      <c r="W44" s="2"/>
      <c r="X44" s="6">
        <f t="shared" si="31"/>
        <v>97.75</v>
      </c>
      <c r="Y44" s="2"/>
      <c r="Z44" s="7">
        <f t="shared" si="32"/>
        <v>0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SUM(OSRRefD22_3x_0)</f>
        <v>169.88</v>
      </c>
      <c r="E45" s="1"/>
      <c r="F45" s="5">
        <f t="shared" si="25"/>
        <v>1.8056416203157004E-2</v>
      </c>
      <c r="G45" s="1"/>
      <c r="H45" s="1">
        <f>SUM(OSRRefH22_3x_0)</f>
        <v>169.88</v>
      </c>
      <c r="I45" s="1"/>
      <c r="J45" s="5">
        <f t="shared" si="26"/>
        <v>1.61822686610954E-2</v>
      </c>
      <c r="K45" s="1"/>
      <c r="L45" s="1">
        <f t="shared" si="27"/>
        <v>0</v>
      </c>
      <c r="M45" s="1"/>
      <c r="N45" s="5">
        <f t="shared" si="28"/>
        <v>0</v>
      </c>
      <c r="O45" s="14"/>
      <c r="P45" s="1">
        <f>SUM(OSRRefP22_3x_0)</f>
        <v>679.52</v>
      </c>
      <c r="Q45" s="1"/>
      <c r="R45" s="5">
        <f t="shared" si="29"/>
        <v>8.0491944705142204E-3</v>
      </c>
      <c r="S45" s="1"/>
      <c r="T45" s="1">
        <f>SUM(OSRRefT22_3x_0)</f>
        <v>679.52</v>
      </c>
      <c r="U45" s="1"/>
      <c r="V45" s="5">
        <f t="shared" si="30"/>
        <v>9.4410546104821656E-3</v>
      </c>
      <c r="W45" s="1"/>
      <c r="X45" s="1">
        <f t="shared" si="31"/>
        <v>0</v>
      </c>
      <c r="Y45" s="1"/>
      <c r="Z45" s="5">
        <f t="shared" si="32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169.88</v>
      </c>
      <c r="E46" s="2"/>
      <c r="F46" s="7">
        <f t="shared" si="25"/>
        <v>1.8056416203157004E-2</v>
      </c>
      <c r="G46" s="2"/>
      <c r="H46" s="6">
        <v>169.88</v>
      </c>
      <c r="I46" s="2"/>
      <c r="J46" s="7">
        <f t="shared" si="26"/>
        <v>1.61822686610954E-2</v>
      </c>
      <c r="K46" s="2"/>
      <c r="L46" s="6">
        <f t="shared" si="27"/>
        <v>0</v>
      </c>
      <c r="M46" s="2"/>
      <c r="N46" s="7">
        <f t="shared" si="28"/>
        <v>0</v>
      </c>
      <c r="O46" s="11"/>
      <c r="P46" s="6">
        <v>679.52</v>
      </c>
      <c r="Q46" s="2"/>
      <c r="R46" s="7">
        <f t="shared" si="29"/>
        <v>8.0491944705142204E-3</v>
      </c>
      <c r="S46" s="2"/>
      <c r="T46" s="6">
        <v>679.52</v>
      </c>
      <c r="U46" s="2"/>
      <c r="V46" s="7">
        <f t="shared" si="30"/>
        <v>9.4410546104821656E-3</v>
      </c>
      <c r="W46" s="2"/>
      <c r="X46" s="6">
        <f t="shared" si="31"/>
        <v>0</v>
      </c>
      <c r="Y46" s="2"/>
      <c r="Z46" s="7">
        <f t="shared" si="32"/>
        <v>0</v>
      </c>
    </row>
    <row r="47" spans="1:26" s="28" customFormat="1" outlineLevel="1" collapsed="1" x14ac:dyDescent="0.25">
      <c r="A47" s="27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SUM(OSRRefD22_4x_0)</f>
        <v>0</v>
      </c>
      <c r="E47" s="1"/>
      <c r="F47" s="5">
        <f t="shared" si="25"/>
        <v>0</v>
      </c>
      <c r="G47" s="1"/>
      <c r="H47" s="1">
        <f>SUM(OSRRefH22_4x_0)</f>
        <v>0</v>
      </c>
      <c r="I47" s="1"/>
      <c r="J47" s="5">
        <f t="shared" si="26"/>
        <v>0</v>
      </c>
      <c r="K47" s="1"/>
      <c r="L47" s="1">
        <f t="shared" si="27"/>
        <v>0</v>
      </c>
      <c r="M47" s="1"/>
      <c r="N47" s="5">
        <f t="shared" si="28"/>
        <v>0</v>
      </c>
      <c r="O47" s="14"/>
      <c r="P47" s="1">
        <f>SUM(OSRRefP22_4x_0)</f>
        <v>0</v>
      </c>
      <c r="Q47" s="1"/>
      <c r="R47" s="5">
        <f t="shared" si="29"/>
        <v>0</v>
      </c>
      <c r="S47" s="1"/>
      <c r="T47" s="1">
        <f>SUM(OSRRefT22_4x_0)</f>
        <v>0</v>
      </c>
      <c r="U47" s="1"/>
      <c r="V47" s="5">
        <f t="shared" si="30"/>
        <v>0</v>
      </c>
      <c r="W47" s="1"/>
      <c r="X47" s="1">
        <f t="shared" si="31"/>
        <v>0</v>
      </c>
      <c r="Y47" s="1"/>
      <c r="Z47" s="5">
        <f t="shared" si="32"/>
        <v>0</v>
      </c>
    </row>
    <row r="48" spans="1:26" s="24" customFormat="1" hidden="1" outlineLevel="2" x14ac:dyDescent="0.25">
      <c r="A48" s="29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25"/>
        <v>0</v>
      </c>
      <c r="G48" s="2"/>
      <c r="H48" s="6">
        <v>0</v>
      </c>
      <c r="I48" s="2"/>
      <c r="J48" s="7">
        <f t="shared" si="26"/>
        <v>0</v>
      </c>
      <c r="K48" s="2"/>
      <c r="L48" s="6">
        <f t="shared" si="27"/>
        <v>0</v>
      </c>
      <c r="M48" s="2"/>
      <c r="N48" s="7">
        <f t="shared" si="28"/>
        <v>0</v>
      </c>
      <c r="O48" s="11"/>
      <c r="P48" s="6"/>
      <c r="Q48" s="2"/>
      <c r="R48" s="7">
        <f t="shared" si="29"/>
        <v>0</v>
      </c>
      <c r="S48" s="2"/>
      <c r="T48" s="6">
        <v>0</v>
      </c>
      <c r="U48" s="2"/>
      <c r="V48" s="7">
        <f t="shared" si="30"/>
        <v>0</v>
      </c>
      <c r="W48" s="2"/>
      <c r="X48" s="6">
        <f t="shared" si="31"/>
        <v>0</v>
      </c>
      <c r="Y48" s="2"/>
      <c r="Z48" s="7">
        <f t="shared" si="32"/>
        <v>0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1205.6400000000001</v>
      </c>
      <c r="E49" s="1"/>
      <c r="F49" s="5">
        <f t="shared" si="25"/>
        <v>0.12814656010815995</v>
      </c>
      <c r="G49" s="1"/>
      <c r="H49" s="1">
        <f>SUM(OSRRefH22_5x_0)</f>
        <v>1205.6400000000001</v>
      </c>
      <c r="I49" s="1"/>
      <c r="J49" s="5">
        <f t="shared" si="26"/>
        <v>0.11484571690936581</v>
      </c>
      <c r="K49" s="1"/>
      <c r="L49" s="1">
        <f t="shared" si="27"/>
        <v>0</v>
      </c>
      <c r="M49" s="1"/>
      <c r="N49" s="5">
        <f t="shared" si="28"/>
        <v>0</v>
      </c>
      <c r="O49" s="14"/>
      <c r="P49" s="1">
        <f>SUM(OSRRefP22_5x_0)</f>
        <v>4822.5600000000004</v>
      </c>
      <c r="Q49" s="1"/>
      <c r="R49" s="5">
        <f t="shared" si="29"/>
        <v>5.7125210863143198E-2</v>
      </c>
      <c r="S49" s="1"/>
      <c r="T49" s="1">
        <f>SUM(OSRRefT22_5x_0)</f>
        <v>4822.5600000000004</v>
      </c>
      <c r="U49" s="1"/>
      <c r="V49" s="5">
        <f t="shared" si="30"/>
        <v>6.7003255713337179E-2</v>
      </c>
      <c r="W49" s="1"/>
      <c r="X49" s="1">
        <f t="shared" si="31"/>
        <v>0</v>
      </c>
      <c r="Y49" s="1"/>
      <c r="Z49" s="5">
        <f t="shared" si="32"/>
        <v>0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6">
        <v>1205.6400000000001</v>
      </c>
      <c r="E50" s="2"/>
      <c r="F50" s="7">
        <f t="shared" si="25"/>
        <v>0.12814656010815995</v>
      </c>
      <c r="G50" s="2"/>
      <c r="H50" s="6">
        <v>1205.6400000000001</v>
      </c>
      <c r="I50" s="2"/>
      <c r="J50" s="7">
        <f t="shared" si="26"/>
        <v>0.11484571690936581</v>
      </c>
      <c r="K50" s="2"/>
      <c r="L50" s="6">
        <f t="shared" si="27"/>
        <v>0</v>
      </c>
      <c r="M50" s="2"/>
      <c r="N50" s="7">
        <f t="shared" si="28"/>
        <v>0</v>
      </c>
      <c r="O50" s="11"/>
      <c r="P50" s="6">
        <v>4822.5600000000004</v>
      </c>
      <c r="Q50" s="2"/>
      <c r="R50" s="7">
        <f t="shared" si="29"/>
        <v>5.7125210863143198E-2</v>
      </c>
      <c r="S50" s="2"/>
      <c r="T50" s="6">
        <v>4822.5600000000004</v>
      </c>
      <c r="U50" s="2"/>
      <c r="V50" s="7">
        <f t="shared" si="30"/>
        <v>6.7003255713337179E-2</v>
      </c>
      <c r="W50" s="2"/>
      <c r="X50" s="6">
        <f t="shared" si="31"/>
        <v>0</v>
      </c>
      <c r="Y50" s="2"/>
      <c r="Z50" s="7">
        <f t="shared" si="32"/>
        <v>0</v>
      </c>
    </row>
    <row r="51" spans="1:26" s="28" customFormat="1" outlineLevel="1" collapsed="1" x14ac:dyDescent="0.25">
      <c r="A51" s="27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SUM(OSRRefD22_6x_0)</f>
        <v>-24784.420000000002</v>
      </c>
      <c r="E51" s="1"/>
      <c r="F51" s="5">
        <f t="shared" si="25"/>
        <v>-2.6343171819746205</v>
      </c>
      <c r="G51" s="1"/>
      <c r="H51" s="1">
        <f>SUM(OSRRefH22_6x_0)</f>
        <v>48851.519999999997</v>
      </c>
      <c r="I51" s="1"/>
      <c r="J51" s="5">
        <f t="shared" si="26"/>
        <v>4.6534519728212578</v>
      </c>
      <c r="K51" s="1"/>
      <c r="L51" s="1">
        <f t="shared" si="27"/>
        <v>-73635.94</v>
      </c>
      <c r="M51" s="1"/>
      <c r="N51" s="5">
        <f t="shared" si="28"/>
        <v>-1.5073418391075653</v>
      </c>
      <c r="O51" s="14"/>
      <c r="P51" s="1">
        <f>SUM(OSRRefP22_6x_0)</f>
        <v>-39187.54</v>
      </c>
      <c r="Q51" s="1"/>
      <c r="R51" s="5">
        <f t="shared" si="29"/>
        <v>-0.46419256281059407</v>
      </c>
      <c r="S51" s="1"/>
      <c r="T51" s="1">
        <f>SUM(OSRRefT22_6x_0)</f>
        <v>-33149.160000000003</v>
      </c>
      <c r="U51" s="1"/>
      <c r="V51" s="5">
        <f t="shared" si="30"/>
        <v>-0.46056485438487615</v>
      </c>
      <c r="W51" s="1"/>
      <c r="X51" s="1">
        <f t="shared" si="31"/>
        <v>-6038.3799999999974</v>
      </c>
      <c r="Y51" s="1"/>
      <c r="Z51" s="5">
        <f t="shared" si="32"/>
        <v>0.18215785860033848</v>
      </c>
    </row>
    <row r="52" spans="1:26" s="24" customFormat="1" hidden="1" outlineLevel="2" x14ac:dyDescent="0.25">
      <c r="A52" s="29"/>
      <c r="B52" s="11" t="str">
        <f>CONCATENATE("          ", "6305", " - ", "FREIGHT OUT")</f>
        <v xml:space="preserve">          6305 - FREIGHT OUT</v>
      </c>
      <c r="C52" s="11"/>
      <c r="D52" s="6">
        <v>26152.05</v>
      </c>
      <c r="E52" s="2"/>
      <c r="F52" s="7">
        <f t="shared" si="25"/>
        <v>2.7796815361771374</v>
      </c>
      <c r="G52" s="2"/>
      <c r="H52" s="6">
        <v>60553.99</v>
      </c>
      <c r="I52" s="2"/>
      <c r="J52" s="7">
        <f t="shared" si="26"/>
        <v>5.7681948121102211</v>
      </c>
      <c r="K52" s="2"/>
      <c r="L52" s="6">
        <f t="shared" si="27"/>
        <v>-34401.94</v>
      </c>
      <c r="M52" s="2"/>
      <c r="N52" s="7">
        <f t="shared" si="28"/>
        <v>-0.56812011892197367</v>
      </c>
      <c r="O52" s="11"/>
      <c r="P52" s="6">
        <v>53480.79</v>
      </c>
      <c r="Q52" s="2"/>
      <c r="R52" s="7">
        <f t="shared" si="29"/>
        <v>0.63350200015707014</v>
      </c>
      <c r="S52" s="2"/>
      <c r="T52" s="6">
        <v>85594.78</v>
      </c>
      <c r="U52" s="2"/>
      <c r="V52" s="7">
        <f t="shared" si="30"/>
        <v>1.189229150506544</v>
      </c>
      <c r="W52" s="2"/>
      <c r="X52" s="6">
        <f t="shared" si="31"/>
        <v>-32113.989999999998</v>
      </c>
      <c r="Y52" s="2"/>
      <c r="Z52" s="7">
        <f t="shared" si="32"/>
        <v>-0.37518631393176077</v>
      </c>
    </row>
    <row r="53" spans="1:26" s="24" customFormat="1" hidden="1" outlineLevel="2" x14ac:dyDescent="0.25">
      <c r="A53" s="29"/>
      <c r="B53" s="11" t="str">
        <f>CONCATENATE("          ", "6307", " - ", "POSTAGE")</f>
        <v xml:space="preserve">          6307 - POSTAGE</v>
      </c>
      <c r="C53" s="11"/>
      <c r="D53" s="6">
        <v>-50936.47</v>
      </c>
      <c r="E53" s="2"/>
      <c r="F53" s="7">
        <f t="shared" si="25"/>
        <v>-5.4139987181517579</v>
      </c>
      <c r="G53" s="2"/>
      <c r="H53" s="6">
        <v>-11702.47</v>
      </c>
      <c r="I53" s="2"/>
      <c r="J53" s="7">
        <f t="shared" si="26"/>
        <v>-1.1147428392889633</v>
      </c>
      <c r="K53" s="2"/>
      <c r="L53" s="6">
        <f t="shared" si="27"/>
        <v>-39234</v>
      </c>
      <c r="M53" s="2"/>
      <c r="N53" s="7">
        <f t="shared" si="28"/>
        <v>3.3526255568268923</v>
      </c>
      <c r="O53" s="11"/>
      <c r="P53" s="6">
        <v>-92668.33</v>
      </c>
      <c r="Q53" s="2"/>
      <c r="R53" s="7">
        <f t="shared" si="29"/>
        <v>-1.0976945629676642</v>
      </c>
      <c r="S53" s="2"/>
      <c r="T53" s="6">
        <v>-118743.94</v>
      </c>
      <c r="U53" s="2"/>
      <c r="V53" s="7">
        <f t="shared" si="30"/>
        <v>-1.6497940048914201</v>
      </c>
      <c r="W53" s="2"/>
      <c r="X53" s="6">
        <f t="shared" si="31"/>
        <v>26075.61</v>
      </c>
      <c r="Y53" s="2"/>
      <c r="Z53" s="7">
        <f t="shared" si="32"/>
        <v>-0.21959529050493018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ref="F54:F59" si="33">IF(D$12=0,0,D54/D$12)</f>
        <v>0</v>
      </c>
      <c r="G54" s="1"/>
      <c r="H54" s="1">
        <f>SUM(OSRRefH22_7x_0)</f>
        <v>0</v>
      </c>
      <c r="I54" s="1"/>
      <c r="J54" s="5">
        <f t="shared" ref="J54:J59" si="34">IF(H$12=0,0,H54/H$12)</f>
        <v>0</v>
      </c>
      <c r="K54" s="1"/>
      <c r="L54" s="1">
        <f t="shared" ref="L54:L59" si="35">+D54-H54</f>
        <v>0</v>
      </c>
      <c r="M54" s="1"/>
      <c r="N54" s="5">
        <f t="shared" ref="N54:N59" si="36">IF(H54=0,0,L54/H54)</f>
        <v>0</v>
      </c>
      <c r="O54" s="14"/>
      <c r="P54" s="1">
        <f>SUM(OSRRefP22_7x_0)</f>
        <v>91.31</v>
      </c>
      <c r="Q54" s="1"/>
      <c r="R54" s="5">
        <f t="shared" ref="R54:R59" si="37">IF(P$12=0,0,P54/P$12)</f>
        <v>1.0816045842692689E-3</v>
      </c>
      <c r="S54" s="1"/>
      <c r="T54" s="1">
        <f>SUM(OSRRefT22_7x_0)</f>
        <v>0</v>
      </c>
      <c r="U54" s="1"/>
      <c r="V54" s="5">
        <f t="shared" ref="V54:V59" si="38">IF(T$12=0,0,T54/T$12)</f>
        <v>0</v>
      </c>
      <c r="W54" s="1"/>
      <c r="X54" s="1">
        <f t="shared" ref="X54:X59" si="39">+P54-T54</f>
        <v>91.31</v>
      </c>
      <c r="Y54" s="1"/>
      <c r="Z54" s="5">
        <f t="shared" ref="Z54:Z59" si="40">IF(T54=0,0,X54/T54)</f>
        <v>0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3"/>
        <v>0</v>
      </c>
      <c r="G55" s="2"/>
      <c r="H55" s="6"/>
      <c r="I55" s="2"/>
      <c r="J55" s="7">
        <f t="shared" si="34"/>
        <v>0</v>
      </c>
      <c r="K55" s="2"/>
      <c r="L55" s="6">
        <f t="shared" si="35"/>
        <v>0</v>
      </c>
      <c r="M55" s="2"/>
      <c r="N55" s="7">
        <f t="shared" si="36"/>
        <v>0</v>
      </c>
      <c r="O55" s="11"/>
      <c r="P55" s="6">
        <v>91.31</v>
      </c>
      <c r="Q55" s="2"/>
      <c r="R55" s="7">
        <f t="shared" si="37"/>
        <v>1.0816045842692689E-3</v>
      </c>
      <c r="S55" s="2"/>
      <c r="T55" s="6"/>
      <c r="U55" s="2"/>
      <c r="V55" s="7">
        <f t="shared" si="38"/>
        <v>0</v>
      </c>
      <c r="W55" s="2"/>
      <c r="X55" s="6">
        <f t="shared" si="39"/>
        <v>91.31</v>
      </c>
      <c r="Y55" s="2"/>
      <c r="Z55" s="7">
        <f t="shared" si="40"/>
        <v>0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8307.630000000001</v>
      </c>
      <c r="E56" s="1"/>
      <c r="F56" s="5">
        <f t="shared" si="33"/>
        <v>0.88301168437622579</v>
      </c>
      <c r="G56" s="1"/>
      <c r="H56" s="1">
        <f>SUM(OSRRefH22_8x_0)</f>
        <v>5274.0899999999992</v>
      </c>
      <c r="I56" s="1"/>
      <c r="J56" s="5">
        <f t="shared" si="34"/>
        <v>0.5023942861007572</v>
      </c>
      <c r="K56" s="1"/>
      <c r="L56" s="1">
        <f t="shared" si="35"/>
        <v>3033.5400000000018</v>
      </c>
      <c r="M56" s="1"/>
      <c r="N56" s="5">
        <f t="shared" si="36"/>
        <v>0.57517789798808938</v>
      </c>
      <c r="O56" s="14"/>
      <c r="P56" s="1">
        <f>SUM(OSRRefP22_8x_0)</f>
        <v>12385.15</v>
      </c>
      <c r="Q56" s="1"/>
      <c r="R56" s="5">
        <f t="shared" si="37"/>
        <v>0.14670720640524076</v>
      </c>
      <c r="S56" s="1"/>
      <c r="T56" s="1">
        <f>SUM(OSRRefT22_8x_0)</f>
        <v>24120.76</v>
      </c>
      <c r="U56" s="1"/>
      <c r="V56" s="5">
        <f t="shared" si="38"/>
        <v>0.33512687250755507</v>
      </c>
      <c r="W56" s="1"/>
      <c r="X56" s="1">
        <f t="shared" si="39"/>
        <v>-11735.609999999999</v>
      </c>
      <c r="Y56" s="1"/>
      <c r="Z56" s="5">
        <f t="shared" si="40"/>
        <v>-0.48653566471371545</v>
      </c>
    </row>
    <row r="57" spans="1:26" s="24" customFormat="1" hidden="1" outlineLevel="2" x14ac:dyDescent="0.25">
      <c r="A57" s="29"/>
      <c r="B57" s="11" t="str">
        <f>CONCATENATE("          ", "6371", " - ", "COMPUTER SOFTWARE MAINTENANCE")</f>
        <v xml:space="preserve">          6371 - COMPUTER SOFTWARE MAINTENANCE</v>
      </c>
      <c r="C57" s="11"/>
      <c r="D57" s="6"/>
      <c r="E57" s="2"/>
      <c r="F57" s="7">
        <f t="shared" si="33"/>
        <v>0</v>
      </c>
      <c r="G57" s="2"/>
      <c r="H57" s="6">
        <v>7.69</v>
      </c>
      <c r="I57" s="2"/>
      <c r="J57" s="7">
        <f t="shared" si="34"/>
        <v>7.325267600884368E-4</v>
      </c>
      <c r="K57" s="2"/>
      <c r="L57" s="6">
        <f t="shared" si="35"/>
        <v>-7.69</v>
      </c>
      <c r="M57" s="2"/>
      <c r="N57" s="7">
        <f t="shared" si="36"/>
        <v>-1</v>
      </c>
      <c r="O57" s="11"/>
      <c r="P57" s="6"/>
      <c r="Q57" s="2"/>
      <c r="R57" s="7">
        <f t="shared" si="37"/>
        <v>0</v>
      </c>
      <c r="S57" s="2"/>
      <c r="T57" s="6">
        <v>7.69</v>
      </c>
      <c r="U57" s="2"/>
      <c r="V57" s="7">
        <f t="shared" si="38"/>
        <v>1.0684263885479142E-4</v>
      </c>
      <c r="W57" s="2"/>
      <c r="X57" s="6">
        <f t="shared" si="39"/>
        <v>-7.69</v>
      </c>
      <c r="Y57" s="2"/>
      <c r="Z57" s="7">
        <f t="shared" si="40"/>
        <v>-1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6">
        <v>3806.46</v>
      </c>
      <c r="E58" s="2"/>
      <c r="F58" s="7">
        <f t="shared" si="33"/>
        <v>0.40458574299899347</v>
      </c>
      <c r="G58" s="2"/>
      <c r="H58" s="6">
        <v>5266.4</v>
      </c>
      <c r="I58" s="2"/>
      <c r="J58" s="7">
        <f t="shared" si="34"/>
        <v>0.50166175934066881</v>
      </c>
      <c r="K58" s="2"/>
      <c r="L58" s="6">
        <f t="shared" si="35"/>
        <v>-1459.9399999999996</v>
      </c>
      <c r="M58" s="2"/>
      <c r="N58" s="7">
        <f t="shared" si="36"/>
        <v>-0.27721783381437032</v>
      </c>
      <c r="O58" s="11"/>
      <c r="P58" s="6">
        <v>4487.54</v>
      </c>
      <c r="Q58" s="2"/>
      <c r="R58" s="7">
        <f t="shared" si="37"/>
        <v>5.3156760881521353E-2</v>
      </c>
      <c r="S58" s="2"/>
      <c r="T58" s="6">
        <v>24113.07</v>
      </c>
      <c r="U58" s="2"/>
      <c r="V58" s="7">
        <f t="shared" si="38"/>
        <v>0.33502002986870028</v>
      </c>
      <c r="W58" s="2"/>
      <c r="X58" s="6">
        <f t="shared" si="39"/>
        <v>-19625.53</v>
      </c>
      <c r="Y58" s="2"/>
      <c r="Z58" s="7">
        <f t="shared" si="40"/>
        <v>-0.81389594937517284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4501.17</v>
      </c>
      <c r="E59" s="2"/>
      <c r="F59" s="7">
        <f t="shared" si="33"/>
        <v>0.47842594137723227</v>
      </c>
      <c r="G59" s="2"/>
      <c r="H59" s="6"/>
      <c r="I59" s="2"/>
      <c r="J59" s="7">
        <f t="shared" si="34"/>
        <v>0</v>
      </c>
      <c r="K59" s="2"/>
      <c r="L59" s="6">
        <f t="shared" si="35"/>
        <v>4501.17</v>
      </c>
      <c r="M59" s="2"/>
      <c r="N59" s="7">
        <f t="shared" si="36"/>
        <v>0</v>
      </c>
      <c r="O59" s="11"/>
      <c r="P59" s="6">
        <v>7897.61</v>
      </c>
      <c r="Q59" s="2"/>
      <c r="R59" s="7">
        <f t="shared" si="37"/>
        <v>9.3550445523719411E-2</v>
      </c>
      <c r="S59" s="2"/>
      <c r="T59" s="6"/>
      <c r="U59" s="2"/>
      <c r="V59" s="7">
        <f t="shared" si="38"/>
        <v>0</v>
      </c>
      <c r="W59" s="2"/>
      <c r="X59" s="6">
        <f t="shared" si="39"/>
        <v>7897.61</v>
      </c>
      <c r="Y59" s="2"/>
      <c r="Z59" s="7">
        <f t="shared" si="40"/>
        <v>0</v>
      </c>
    </row>
    <row r="60" spans="1:26" s="28" customFormat="1" outlineLevel="1" collapsed="1" x14ac:dyDescent="0.25">
      <c r="A60" s="27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SUM(OSRRefD22_9x_0)</f>
        <v>1925.97</v>
      </c>
      <c r="E60" s="1"/>
      <c r="F60" s="5">
        <f t="shared" ref="F60:F67" si="41">IF(D$12=0,0,D60/D$12)</f>
        <v>0.20470988883208321</v>
      </c>
      <c r="G60" s="1"/>
      <c r="H60" s="1">
        <f>SUM(OSRRefH22_9x_0)</f>
        <v>320.39999999999998</v>
      </c>
      <c r="I60" s="1"/>
      <c r="J60" s="5">
        <f t="shared" ref="J60:J67" si="42">IF(H$12=0,0,H60/H$12)</f>
        <v>3.0520360719419392E-2</v>
      </c>
      <c r="K60" s="1"/>
      <c r="L60" s="1">
        <f t="shared" ref="L60:L67" si="43">+D60-H60</f>
        <v>1605.5700000000002</v>
      </c>
      <c r="M60" s="1"/>
      <c r="N60" s="5">
        <f t="shared" ref="N60:N67" si="44">IF(H60=0,0,L60/H60)</f>
        <v>5.0111423220973794</v>
      </c>
      <c r="O60" s="14"/>
      <c r="P60" s="1">
        <f>SUM(OSRRefP22_9x_0)</f>
        <v>3708.14</v>
      </c>
      <c r="Q60" s="1"/>
      <c r="R60" s="5">
        <f t="shared" ref="R60:R67" si="45">IF(P$12=0,0,P60/P$12)</f>
        <v>4.3924446644532322E-2</v>
      </c>
      <c r="S60" s="1"/>
      <c r="T60" s="1">
        <f>SUM(OSRRefT22_9x_0)</f>
        <v>5705.2</v>
      </c>
      <c r="U60" s="1"/>
      <c r="V60" s="5">
        <f t="shared" ref="V60:V67" si="46">IF(T$12=0,0,T60/T$12)</f>
        <v>7.9266400935546932E-2</v>
      </c>
      <c r="W60" s="1"/>
      <c r="X60" s="1">
        <f t="shared" ref="X60:X67" si="47">+P60-T60</f>
        <v>-1997.06</v>
      </c>
      <c r="Y60" s="1"/>
      <c r="Z60" s="5">
        <f t="shared" ref="Z60:Z67" si="48">IF(T60=0,0,X60/T60)</f>
        <v>-0.35004206688634931</v>
      </c>
    </row>
    <row r="61" spans="1:26" s="24" customFormat="1" hidden="1" outlineLevel="2" x14ac:dyDescent="0.25">
      <c r="A61" s="29"/>
      <c r="B61" s="11" t="str">
        <f>CONCATENATE("          ", "6259", " - ", "ROYALTY &amp; COMMISSIONS")</f>
        <v xml:space="preserve">          6259 - ROYALTY &amp; COMMISSIONS</v>
      </c>
      <c r="C61" s="11"/>
      <c r="D61" s="6">
        <v>1925.97</v>
      </c>
      <c r="E61" s="2"/>
      <c r="F61" s="7">
        <f t="shared" si="41"/>
        <v>0.20470988883208321</v>
      </c>
      <c r="G61" s="2"/>
      <c r="H61" s="6">
        <v>320.39999999999998</v>
      </c>
      <c r="I61" s="2"/>
      <c r="J61" s="7">
        <f t="shared" si="42"/>
        <v>3.0520360719419392E-2</v>
      </c>
      <c r="K61" s="2"/>
      <c r="L61" s="6">
        <f t="shared" si="43"/>
        <v>1605.5700000000002</v>
      </c>
      <c r="M61" s="2"/>
      <c r="N61" s="7">
        <f t="shared" si="44"/>
        <v>5.0111423220973794</v>
      </c>
      <c r="O61" s="11"/>
      <c r="P61" s="6">
        <v>3708.14</v>
      </c>
      <c r="Q61" s="2"/>
      <c r="R61" s="7">
        <f t="shared" si="45"/>
        <v>4.3924446644532322E-2</v>
      </c>
      <c r="S61" s="2"/>
      <c r="T61" s="6">
        <v>5705.2</v>
      </c>
      <c r="U61" s="2"/>
      <c r="V61" s="7">
        <f t="shared" si="46"/>
        <v>7.9266400935546932E-2</v>
      </c>
      <c r="W61" s="2"/>
      <c r="X61" s="6">
        <f t="shared" si="47"/>
        <v>-1997.06</v>
      </c>
      <c r="Y61" s="2"/>
      <c r="Z61" s="7">
        <f t="shared" si="48"/>
        <v>-0.35004206688634931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3516.3199999999997</v>
      </c>
      <c r="E62" s="1"/>
      <c r="F62" s="5">
        <f t="shared" si="41"/>
        <v>0.37374698271418078</v>
      </c>
      <c r="G62" s="1"/>
      <c r="H62" s="1">
        <f>SUM(OSRRefH22_10x_0)</f>
        <v>1902.8600000000001</v>
      </c>
      <c r="I62" s="1"/>
      <c r="J62" s="5">
        <f t="shared" si="42"/>
        <v>0.18126084144367788</v>
      </c>
      <c r="K62" s="1"/>
      <c r="L62" s="1">
        <f t="shared" si="43"/>
        <v>1613.4599999999996</v>
      </c>
      <c r="M62" s="1"/>
      <c r="N62" s="5">
        <f t="shared" si="44"/>
        <v>0.84791314127155937</v>
      </c>
      <c r="O62" s="14"/>
      <c r="P62" s="1">
        <f>SUM(OSRRefP22_10x_0)</f>
        <v>16555.43</v>
      </c>
      <c r="Q62" s="1"/>
      <c r="R62" s="5">
        <f t="shared" si="45"/>
        <v>0.19610589182509014</v>
      </c>
      <c r="S62" s="1"/>
      <c r="T62" s="1">
        <f>SUM(OSRRefT22_10x_0)</f>
        <v>21511.55</v>
      </c>
      <c r="U62" s="1"/>
      <c r="V62" s="5">
        <f t="shared" si="46"/>
        <v>0.29887526240010248</v>
      </c>
      <c r="W62" s="1"/>
      <c r="X62" s="1">
        <f t="shared" si="47"/>
        <v>-4956.119999999999</v>
      </c>
      <c r="Y62" s="1"/>
      <c r="Z62" s="5">
        <f t="shared" si="48"/>
        <v>-0.23039343980326843</v>
      </c>
    </row>
    <row r="63" spans="1:26" s="24" customFormat="1" hidden="1" outlineLevel="2" x14ac:dyDescent="0.25">
      <c r="A63" s="29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41"/>
        <v>0</v>
      </c>
      <c r="G63" s="2"/>
      <c r="H63" s="6"/>
      <c r="I63" s="2"/>
      <c r="J63" s="7">
        <f t="shared" si="42"/>
        <v>0</v>
      </c>
      <c r="K63" s="2"/>
      <c r="L63" s="6">
        <f t="shared" si="43"/>
        <v>0</v>
      </c>
      <c r="M63" s="2"/>
      <c r="N63" s="7">
        <f t="shared" si="44"/>
        <v>0</v>
      </c>
      <c r="O63" s="11"/>
      <c r="P63" s="6"/>
      <c r="Q63" s="2"/>
      <c r="R63" s="7">
        <f t="shared" si="45"/>
        <v>0</v>
      </c>
      <c r="S63" s="2"/>
      <c r="T63" s="6">
        <v>310.91000000000003</v>
      </c>
      <c r="U63" s="2"/>
      <c r="V63" s="7">
        <f t="shared" si="46"/>
        <v>4.3196937381460602E-3</v>
      </c>
      <c r="W63" s="2"/>
      <c r="X63" s="6">
        <f t="shared" si="47"/>
        <v>-310.91000000000003</v>
      </c>
      <c r="Y63" s="2"/>
      <c r="Z63" s="7">
        <f t="shared" si="48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6">
        <v>3.96</v>
      </c>
      <c r="E64" s="2"/>
      <c r="F64" s="7">
        <f t="shared" si="41"/>
        <v>4.2090539300978185E-4</v>
      </c>
      <c r="G64" s="2"/>
      <c r="H64" s="6">
        <v>6.6</v>
      </c>
      <c r="I64" s="2"/>
      <c r="J64" s="7">
        <f t="shared" si="42"/>
        <v>6.286965691266167E-4</v>
      </c>
      <c r="K64" s="2"/>
      <c r="L64" s="6">
        <f t="shared" si="43"/>
        <v>-2.6399999999999997</v>
      </c>
      <c r="M64" s="2"/>
      <c r="N64" s="7">
        <f t="shared" si="44"/>
        <v>-0.39999999999999997</v>
      </c>
      <c r="O64" s="11"/>
      <c r="P64" s="6">
        <v>4835.71</v>
      </c>
      <c r="Q64" s="2"/>
      <c r="R64" s="7">
        <f t="shared" si="45"/>
        <v>5.7280978033038506E-2</v>
      </c>
      <c r="S64" s="2"/>
      <c r="T64" s="6">
        <v>4596.8599999999997</v>
      </c>
      <c r="U64" s="2"/>
      <c r="V64" s="7">
        <f t="shared" si="46"/>
        <v>6.3867445103515788E-2</v>
      </c>
      <c r="W64" s="2"/>
      <c r="X64" s="6">
        <f t="shared" si="47"/>
        <v>238.85000000000036</v>
      </c>
      <c r="Y64" s="2"/>
      <c r="Z64" s="7">
        <f t="shared" si="48"/>
        <v>5.1959380968748317E-2</v>
      </c>
    </row>
    <row r="65" spans="1:26" s="24" customFormat="1" hidden="1" outlineLevel="2" x14ac:dyDescent="0.25">
      <c r="A65" s="29"/>
      <c r="B65" s="11" t="str">
        <f>CONCATENATE("          ", "6243", " - ", "PAPER SUPPLIES")</f>
        <v xml:space="preserve">          6243 - PAPER SUPPLIES</v>
      </c>
      <c r="C65" s="11"/>
      <c r="D65" s="6">
        <v>735.87</v>
      </c>
      <c r="E65" s="2"/>
      <c r="F65" s="7">
        <f t="shared" si="41"/>
        <v>7.8215063523764686E-2</v>
      </c>
      <c r="G65" s="2"/>
      <c r="H65" s="6">
        <v>449.01</v>
      </c>
      <c r="I65" s="2"/>
      <c r="J65" s="7">
        <f t="shared" si="42"/>
        <v>4.2771370682354877E-2</v>
      </c>
      <c r="K65" s="2"/>
      <c r="L65" s="6">
        <f t="shared" si="43"/>
        <v>286.86</v>
      </c>
      <c r="M65" s="2"/>
      <c r="N65" s="7">
        <f t="shared" si="44"/>
        <v>0.63887218547471103</v>
      </c>
      <c r="O65" s="11"/>
      <c r="P65" s="6">
        <v>4186.79</v>
      </c>
      <c r="Q65" s="2"/>
      <c r="R65" s="7">
        <f t="shared" si="45"/>
        <v>4.9594253174600068E-2</v>
      </c>
      <c r="S65" s="2"/>
      <c r="T65" s="6">
        <v>3573.7</v>
      </c>
      <c r="U65" s="2"/>
      <c r="V65" s="7">
        <f t="shared" si="46"/>
        <v>4.9651955588474392E-2</v>
      </c>
      <c r="W65" s="2"/>
      <c r="X65" s="6">
        <f t="shared" si="47"/>
        <v>613.09000000000015</v>
      </c>
      <c r="Y65" s="2"/>
      <c r="Z65" s="7">
        <f t="shared" si="48"/>
        <v>0.17155609032655236</v>
      </c>
    </row>
    <row r="66" spans="1:26" s="24" customFormat="1" hidden="1" outlineLevel="2" x14ac:dyDescent="0.25">
      <c r="A66" s="29"/>
      <c r="B66" s="11" t="str">
        <f>CONCATENATE("          ", "6245", " - ", "PRINTING")</f>
        <v xml:space="preserve">          6245 - PRINTING</v>
      </c>
      <c r="C66" s="11"/>
      <c r="D66" s="6">
        <v>296.68</v>
      </c>
      <c r="E66" s="2"/>
      <c r="F66" s="7">
        <f t="shared" si="41"/>
        <v>3.1533891918722745E-2</v>
      </c>
      <c r="G66" s="2"/>
      <c r="H66" s="6">
        <v>353.09</v>
      </c>
      <c r="I66" s="2"/>
      <c r="J66" s="7">
        <f t="shared" si="42"/>
        <v>3.3634313877714712E-2</v>
      </c>
      <c r="K66" s="2"/>
      <c r="L66" s="6">
        <f t="shared" si="43"/>
        <v>-56.409999999999968</v>
      </c>
      <c r="M66" s="2"/>
      <c r="N66" s="7">
        <f t="shared" si="44"/>
        <v>-0.15976096745872148</v>
      </c>
      <c r="O66" s="11"/>
      <c r="P66" s="6">
        <v>-362.39</v>
      </c>
      <c r="Q66" s="2"/>
      <c r="R66" s="7">
        <f t="shared" si="45"/>
        <v>-4.2926589124229579E-3</v>
      </c>
      <c r="S66" s="2"/>
      <c r="T66" s="6">
        <v>345.89</v>
      </c>
      <c r="U66" s="2"/>
      <c r="V66" s="7">
        <f t="shared" si="46"/>
        <v>4.8056957546792978E-3</v>
      </c>
      <c r="W66" s="2"/>
      <c r="X66" s="6">
        <f t="shared" si="47"/>
        <v>-708.28</v>
      </c>
      <c r="Y66" s="2"/>
      <c r="Z66" s="7">
        <f t="shared" si="48"/>
        <v>-2.0477030269738936</v>
      </c>
    </row>
    <row r="67" spans="1:26" s="24" customFormat="1" hidden="1" outlineLevel="2" x14ac:dyDescent="0.25">
      <c r="A67" s="29"/>
      <c r="B67" s="11" t="str">
        <f>CONCATENATE("          ", "6247", " - ", "STORE SUPPLIES")</f>
        <v xml:space="preserve">          6247 - STORE SUPPLIES</v>
      </c>
      <c r="C67" s="11"/>
      <c r="D67" s="6">
        <v>2479.81</v>
      </c>
      <c r="E67" s="2"/>
      <c r="F67" s="7">
        <f t="shared" si="41"/>
        <v>0.2635771218786836</v>
      </c>
      <c r="G67" s="2"/>
      <c r="H67" s="6">
        <v>1094.1600000000001</v>
      </c>
      <c r="I67" s="2"/>
      <c r="J67" s="7">
        <f t="shared" si="42"/>
        <v>0.10422646031448167</v>
      </c>
      <c r="K67" s="2"/>
      <c r="L67" s="6">
        <f t="shared" si="43"/>
        <v>1385.6499999999999</v>
      </c>
      <c r="M67" s="2"/>
      <c r="N67" s="7">
        <f t="shared" si="44"/>
        <v>1.2664052789354387</v>
      </c>
      <c r="O67" s="11"/>
      <c r="P67" s="6">
        <v>7895.32</v>
      </c>
      <c r="Q67" s="2"/>
      <c r="R67" s="7">
        <f t="shared" si="45"/>
        <v>9.3523319529874527E-2</v>
      </c>
      <c r="S67" s="2"/>
      <c r="T67" s="6">
        <v>12684.19</v>
      </c>
      <c r="U67" s="2"/>
      <c r="V67" s="7">
        <f t="shared" si="46"/>
        <v>0.17623047221528695</v>
      </c>
      <c r="W67" s="2"/>
      <c r="X67" s="6">
        <f t="shared" si="47"/>
        <v>-4788.8700000000008</v>
      </c>
      <c r="Y67" s="2"/>
      <c r="Z67" s="7">
        <f t="shared" si="48"/>
        <v>-0.3775463786020235</v>
      </c>
    </row>
    <row r="68" spans="1:26" s="28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46.2</v>
      </c>
      <c r="E68" s="1"/>
      <c r="F68" s="5">
        <f t="shared" ref="F68:F71" si="49">IF(D$12=0,0,D68/D$12)</f>
        <v>4.9105629184474555E-3</v>
      </c>
      <c r="G68" s="1"/>
      <c r="H68" s="1">
        <f>SUM(OSRRefH22_11x_0)</f>
        <v>193.4</v>
      </c>
      <c r="I68" s="1"/>
      <c r="J68" s="5">
        <f t="shared" ref="J68:J71" si="50">IF(H$12=0,0,H68/H$12)</f>
        <v>1.8422714616528436E-2</v>
      </c>
      <c r="K68" s="1"/>
      <c r="L68" s="1">
        <f t="shared" ref="L68:L71" si="51">+D68-H68</f>
        <v>-147.19999999999999</v>
      </c>
      <c r="M68" s="1"/>
      <c r="N68" s="5">
        <f t="shared" ref="N68:N71" si="52">IF(H68=0,0,L68/H68)</f>
        <v>-0.76111685625646319</v>
      </c>
      <c r="O68" s="14"/>
      <c r="P68" s="1">
        <f>SUM(OSRRefP22_11x_0)</f>
        <v>532.9</v>
      </c>
      <c r="Q68" s="1"/>
      <c r="R68" s="5">
        <f t="shared" ref="R68:R71" si="53">IF(P$12=0,0,P68/P$12)</f>
        <v>6.3124201397118974E-3</v>
      </c>
      <c r="S68" s="1"/>
      <c r="T68" s="1">
        <f>SUM(OSRRefT22_11x_0)</f>
        <v>859.15</v>
      </c>
      <c r="U68" s="1"/>
      <c r="V68" s="5">
        <f t="shared" ref="V68:V71" si="54">IF(T$12=0,0,T68/T$12)</f>
        <v>1.1936781946956312E-2</v>
      </c>
      <c r="W68" s="1"/>
      <c r="X68" s="1">
        <f t="shared" ref="X68:X71" si="55">+P68-T68</f>
        <v>-326.25</v>
      </c>
      <c r="Y68" s="1"/>
      <c r="Z68" s="5">
        <f t="shared" ref="Z68:Z71" si="56">IF(T68=0,0,X68/T68)</f>
        <v>-0.37973578536926034</v>
      </c>
    </row>
    <row r="69" spans="1:26" s="24" customFormat="1" hidden="1" outlineLevel="2" x14ac:dyDescent="0.25">
      <c r="A69" s="29"/>
      <c r="B69" s="11" t="str">
        <f>CONCATENATE("          ", "6309", " - ", "TELEPHONE")</f>
        <v xml:space="preserve">          6309 - TELEPHONE</v>
      </c>
      <c r="C69" s="11"/>
      <c r="D69" s="6">
        <v>46.2</v>
      </c>
      <c r="E69" s="2"/>
      <c r="F69" s="7">
        <f t="shared" si="49"/>
        <v>4.9105629184474555E-3</v>
      </c>
      <c r="G69" s="2"/>
      <c r="H69" s="6">
        <v>193.4</v>
      </c>
      <c r="I69" s="2"/>
      <c r="J69" s="7">
        <f t="shared" si="50"/>
        <v>1.8422714616528436E-2</v>
      </c>
      <c r="K69" s="2"/>
      <c r="L69" s="6">
        <f t="shared" si="51"/>
        <v>-147.19999999999999</v>
      </c>
      <c r="M69" s="2"/>
      <c r="N69" s="7">
        <f t="shared" si="52"/>
        <v>-0.76111685625646319</v>
      </c>
      <c r="O69" s="11"/>
      <c r="P69" s="6">
        <v>532.9</v>
      </c>
      <c r="Q69" s="2"/>
      <c r="R69" s="7">
        <f t="shared" si="53"/>
        <v>6.3124201397118974E-3</v>
      </c>
      <c r="S69" s="2"/>
      <c r="T69" s="6">
        <v>859.15</v>
      </c>
      <c r="U69" s="2"/>
      <c r="V69" s="7">
        <f t="shared" si="54"/>
        <v>1.1936781946956312E-2</v>
      </c>
      <c r="W69" s="2"/>
      <c r="X69" s="6">
        <f t="shared" si="55"/>
        <v>-326.25</v>
      </c>
      <c r="Y69" s="2"/>
      <c r="Z69" s="7">
        <f t="shared" si="56"/>
        <v>-0.37973578536926034</v>
      </c>
    </row>
    <row r="70" spans="1:26" s="28" customFormat="1" outlineLevel="1" collapsed="1" x14ac:dyDescent="0.25">
      <c r="A70" s="27"/>
      <c r="B70" s="14" t="str">
        <f>CONCATENATE("     ","Utilities                                         ")</f>
        <v xml:space="preserve">     Utilities                                         </v>
      </c>
      <c r="C70" s="14"/>
      <c r="D70" s="1">
        <f>SUM(OSRRefD22_12x_0)</f>
        <v>0</v>
      </c>
      <c r="E70" s="1"/>
      <c r="F70" s="5">
        <f t="shared" si="49"/>
        <v>0</v>
      </c>
      <c r="G70" s="1"/>
      <c r="H70" s="1">
        <f>SUM(OSRRefH22_12x_0)</f>
        <v>0</v>
      </c>
      <c r="I70" s="1"/>
      <c r="J70" s="5">
        <f t="shared" si="50"/>
        <v>0</v>
      </c>
      <c r="K70" s="1"/>
      <c r="L70" s="1">
        <f t="shared" si="51"/>
        <v>0</v>
      </c>
      <c r="M70" s="1"/>
      <c r="N70" s="5">
        <f t="shared" si="52"/>
        <v>0</v>
      </c>
      <c r="O70" s="14"/>
      <c r="P70" s="1">
        <f>SUM(OSRRefP22_12x_0)</f>
        <v>0</v>
      </c>
      <c r="Q70" s="1"/>
      <c r="R70" s="5">
        <f t="shared" si="53"/>
        <v>0</v>
      </c>
      <c r="S70" s="1"/>
      <c r="T70" s="1">
        <f>SUM(OSRRefT22_12x_0)</f>
        <v>15.02</v>
      </c>
      <c r="U70" s="1"/>
      <c r="V70" s="5">
        <f t="shared" si="54"/>
        <v>2.0868354169037282E-4</v>
      </c>
      <c r="W70" s="1"/>
      <c r="X70" s="1">
        <f t="shared" si="55"/>
        <v>-15.02</v>
      </c>
      <c r="Y70" s="1"/>
      <c r="Z70" s="5">
        <f t="shared" si="56"/>
        <v>-1</v>
      </c>
    </row>
    <row r="71" spans="1:26" s="24" customFormat="1" hidden="1" outlineLevel="2" x14ac:dyDescent="0.25">
      <c r="A71" s="29"/>
      <c r="B71" s="11" t="str">
        <f>CONCATENATE("          ", "6274", " - ", "UTILITIES")</f>
        <v xml:space="preserve">          6274 - UTILITIES</v>
      </c>
      <c r="C71" s="11"/>
      <c r="D71" s="6"/>
      <c r="E71" s="2"/>
      <c r="F71" s="7">
        <f t="shared" si="49"/>
        <v>0</v>
      </c>
      <c r="G71" s="2"/>
      <c r="H71" s="6"/>
      <c r="I71" s="2"/>
      <c r="J71" s="7">
        <f t="shared" si="50"/>
        <v>0</v>
      </c>
      <c r="K71" s="2"/>
      <c r="L71" s="6">
        <f t="shared" si="51"/>
        <v>0</v>
      </c>
      <c r="M71" s="2"/>
      <c r="N71" s="7">
        <f t="shared" si="52"/>
        <v>0</v>
      </c>
      <c r="O71" s="11"/>
      <c r="P71" s="6"/>
      <c r="Q71" s="2"/>
      <c r="R71" s="7">
        <f t="shared" si="53"/>
        <v>0</v>
      </c>
      <c r="S71" s="2"/>
      <c r="T71" s="6">
        <v>15.02</v>
      </c>
      <c r="U71" s="2"/>
      <c r="V71" s="7">
        <f t="shared" si="54"/>
        <v>2.0868354169037282E-4</v>
      </c>
      <c r="W71" s="2"/>
      <c r="X71" s="6">
        <f t="shared" si="55"/>
        <v>-15.02</v>
      </c>
      <c r="Y71" s="2"/>
      <c r="Z71" s="7">
        <f t="shared" si="56"/>
        <v>-1</v>
      </c>
    </row>
    <row r="72" spans="1:26" s="56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5" t="s">
        <v>292</v>
      </c>
      <c r="C73" s="10"/>
      <c r="D73" s="4">
        <f>SUM(OSRRefD25x_0)</f>
        <v>0</v>
      </c>
      <c r="E73" s="4"/>
      <c r="F73" s="12">
        <f t="shared" ref="F73:F74" si="57">IF(D$12=0,0,D73/D$12)</f>
        <v>0</v>
      </c>
      <c r="G73" s="4"/>
      <c r="H73" s="4">
        <f>SUM(OSRRefH25x_0)</f>
        <v>6782</v>
      </c>
      <c r="I73" s="4"/>
      <c r="J73" s="12">
        <f t="shared" ref="J73:J74" si="58">IF(H$12=0,0,H73/H$12)</f>
        <v>0.64603335330556289</v>
      </c>
      <c r="K73" s="4"/>
      <c r="L73" s="4">
        <f t="shared" ref="L73:L74" si="59">+D73-H73</f>
        <v>-6782</v>
      </c>
      <c r="M73" s="4"/>
      <c r="N73" s="12">
        <f t="shared" ref="N73:N74" si="60">IF(H73=0,0,L73/H73)</f>
        <v>-1</v>
      </c>
      <c r="O73" s="10"/>
      <c r="P73" s="4">
        <f>SUM(OSRRefP25x_0)</f>
        <v>14899</v>
      </c>
      <c r="Q73" s="4"/>
      <c r="R73" s="12">
        <f t="shared" ref="R73:R74" si="61">IF(P$12=0,0,P73/P$12)</f>
        <v>0.1764847957619958</v>
      </c>
      <c r="S73" s="4"/>
      <c r="T73" s="4">
        <f>SUM(OSRRefT25x_0)</f>
        <v>27128</v>
      </c>
      <c r="U73" s="4"/>
      <c r="V73" s="12">
        <f t="shared" ref="V73:V74" si="62">IF(T$12=0,0,T73/T$12)</f>
        <v>0.37690859646980251</v>
      </c>
      <c r="W73" s="4"/>
      <c r="X73" s="4">
        <f t="shared" ref="X73:X74" si="63">+P73-T73</f>
        <v>-12229</v>
      </c>
      <c r="Y73" s="4"/>
      <c r="Z73" s="12">
        <f t="shared" ref="Z73:Z74" si="64">IF(T73=0,0,X73/T73)</f>
        <v>-0.4507888528457682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0</f>
        <v>0</v>
      </c>
      <c r="E74" s="2"/>
      <c r="F74" s="19">
        <f t="shared" si="57"/>
        <v>0</v>
      </c>
      <c r="G74" s="2"/>
      <c r="H74" s="2">
        <f>--6782</f>
        <v>6782</v>
      </c>
      <c r="I74" s="2"/>
      <c r="J74" s="19">
        <f t="shared" si="58"/>
        <v>0.64603335330556289</v>
      </c>
      <c r="K74" s="2"/>
      <c r="L74" s="2">
        <f t="shared" si="59"/>
        <v>-6782</v>
      </c>
      <c r="M74" s="2"/>
      <c r="N74" s="19">
        <f t="shared" si="60"/>
        <v>-1</v>
      </c>
      <c r="O74" s="11"/>
      <c r="P74" s="2">
        <f>--14899</f>
        <v>14899</v>
      </c>
      <c r="Q74" s="2"/>
      <c r="R74" s="19">
        <f t="shared" si="61"/>
        <v>0.1764847957619958</v>
      </c>
      <c r="S74" s="2"/>
      <c r="T74" s="2">
        <f>--27128</f>
        <v>27128</v>
      </c>
      <c r="U74" s="2"/>
      <c r="V74" s="19">
        <f t="shared" si="62"/>
        <v>0.37690859646980251</v>
      </c>
      <c r="W74" s="2"/>
      <c r="X74" s="2">
        <f t="shared" si="63"/>
        <v>-12229</v>
      </c>
      <c r="Y74" s="2"/>
      <c r="Z74" s="19">
        <f t="shared" si="64"/>
        <v>-0.4507888528457682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276</v>
      </c>
      <c r="C76" s="26"/>
      <c r="D76" s="22">
        <f>+D27-D29+D73</f>
        <v>-13895.08</v>
      </c>
      <c r="E76" s="13"/>
      <c r="F76" s="20">
        <f>IF(D$12=0,0,D76/D$12)</f>
        <v>-1.4768975020965553</v>
      </c>
      <c r="G76" s="13"/>
      <c r="H76" s="22">
        <f>+H27-H29+H73</f>
        <v>-66669.39999999998</v>
      </c>
      <c r="I76" s="13"/>
      <c r="J76" s="20">
        <f>IF(H$12=0,0,H76/H$12)</f>
        <v>-6.3507307645045534</v>
      </c>
      <c r="K76" s="15"/>
      <c r="L76" s="22">
        <f>+D76-H76</f>
        <v>52774.319999999978</v>
      </c>
      <c r="M76" s="15"/>
      <c r="N76" s="20">
        <f>IF(H76=0,0,L76/H76)</f>
        <v>-0.79158234512384984</v>
      </c>
      <c r="O76" s="25"/>
      <c r="P76" s="22">
        <f>+P27-P29+P73</f>
        <v>-14044.599999999991</v>
      </c>
      <c r="Q76" s="13"/>
      <c r="R76" s="20">
        <f>IF(P$12=0,0,P76/P$12)</f>
        <v>-0.16636407561305622</v>
      </c>
      <c r="S76" s="13"/>
      <c r="T76" s="22">
        <f>+T27-T29+T73</f>
        <v>-21902.680000000022</v>
      </c>
      <c r="U76" s="13"/>
      <c r="V76" s="20">
        <f>IF(T$12=0,0,T76/T$12)</f>
        <v>-0.30430950964786285</v>
      </c>
      <c r="W76" s="15"/>
      <c r="X76" s="22">
        <f>+P76-T76</f>
        <v>7858.0800000000309</v>
      </c>
      <c r="Y76" s="15"/>
      <c r="Z76" s="20">
        <f>IF(T76=0,0,X76/T76)</f>
        <v>-0.35877253377212392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127</v>
      </c>
      <c r="C78" s="10"/>
      <c r="D78" s="4">
        <v>473.63</v>
      </c>
      <c r="E78" s="4"/>
      <c r="F78" s="12">
        <f>IF(D$12=0,0,D78/D$12)</f>
        <v>5.0341773053339131E-2</v>
      </c>
      <c r="G78" s="4"/>
      <c r="H78" s="4">
        <v>4202.3999999999996</v>
      </c>
      <c r="I78" s="4"/>
      <c r="J78" s="12">
        <f>IF(H$12=0,0,H78/H$12)</f>
        <v>0.40030825183298396</v>
      </c>
      <c r="K78" s="4"/>
      <c r="L78" s="4">
        <f>+D78-H78</f>
        <v>-3728.7699999999995</v>
      </c>
      <c r="M78" s="4"/>
      <c r="N78" s="12">
        <f>IF(H78=0,0,L78/H78)</f>
        <v>-0.88729535503521795</v>
      </c>
      <c r="O78" s="10"/>
      <c r="P78" s="4">
        <v>9758.36</v>
      </c>
      <c r="Q78" s="4"/>
      <c r="R78" s="12">
        <f>IF(P$12=0,0,P78/P$12)</f>
        <v>0.11559179619920998</v>
      </c>
      <c r="S78" s="4"/>
      <c r="T78" s="4">
        <v>15591.34</v>
      </c>
      <c r="U78" s="4"/>
      <c r="V78" s="12">
        <f>IF(T$12=0,0,T78/T$12)</f>
        <v>0.2166215746270824</v>
      </c>
      <c r="W78" s="4"/>
      <c r="X78" s="4">
        <f>+P78-T78</f>
        <v>-5832.98</v>
      </c>
      <c r="Y78" s="4"/>
      <c r="Z78" s="12">
        <f>IF(T78=0,0,X78/T78)</f>
        <v>-0.37411665706732067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125</v>
      </c>
      <c r="C80" s="26"/>
      <c r="D80" s="33">
        <f>+D76-D78</f>
        <v>-14368.71</v>
      </c>
      <c r="E80" s="13"/>
      <c r="F80" s="31">
        <f>IF(D$12=0,0,D80/D$12)</f>
        <v>-1.5272392751498944</v>
      </c>
      <c r="G80" s="13"/>
      <c r="H80" s="33">
        <f>+H76-H78</f>
        <v>-70871.799999999974</v>
      </c>
      <c r="I80" s="13"/>
      <c r="J80" s="31">
        <f>IF(H$12=0,0,H80/H$12)</f>
        <v>-6.7510390163375362</v>
      </c>
      <c r="K80" s="15"/>
      <c r="L80" s="33">
        <f>D80-H80</f>
        <v>56503.089999999975</v>
      </c>
      <c r="M80" s="15"/>
      <c r="N80" s="31">
        <f>IF(H80=0,0,L80/H80)</f>
        <v>-0.7972577245110184</v>
      </c>
      <c r="O80" s="25"/>
      <c r="P80" s="33">
        <f>+P76-P78</f>
        <v>-23802.959999999992</v>
      </c>
      <c r="Q80" s="13"/>
      <c r="R80" s="31">
        <f>IF(P$12=0,0,P80/P$12)</f>
        <v>-0.28195587181226622</v>
      </c>
      <c r="S80" s="13"/>
      <c r="T80" s="33">
        <f>+T76-T78</f>
        <v>-37494.020000000019</v>
      </c>
      <c r="U80" s="13"/>
      <c r="V80" s="31">
        <f>IF(T$12=0,0,T80/T$12)</f>
        <v>-0.52093108427494517</v>
      </c>
      <c r="W80" s="15"/>
      <c r="X80" s="33">
        <f>P80-T80</f>
        <v>13691.060000000027</v>
      </c>
      <c r="Y80" s="15"/>
      <c r="Z80" s="31">
        <f>IF(T80=0,0,X80/T80)</f>
        <v>-0.36515316309107476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293</v>
      </c>
      <c r="C83" s="26"/>
      <c r="D83" s="34">
        <f>SUM(D80:D82)</f>
        <v>-14368.71</v>
      </c>
      <c r="E83" s="13"/>
      <c r="F83" s="30">
        <f>IF(D$12=0,0,D83/D$12)</f>
        <v>-1.5272392751498944</v>
      </c>
      <c r="G83" s="13"/>
      <c r="H83" s="34">
        <f>SUM(H80:H82)</f>
        <v>-70871.799999999974</v>
      </c>
      <c r="I83" s="13"/>
      <c r="J83" s="30">
        <f>IF(H$12=0,0,H83/H$12)</f>
        <v>-6.7510390163375362</v>
      </c>
      <c r="K83" s="15"/>
      <c r="L83" s="34">
        <f>+D83-H83</f>
        <v>56503.089999999975</v>
      </c>
      <c r="M83" s="15"/>
      <c r="N83" s="30">
        <f>IF(H83=0,0,L83/H83)</f>
        <v>-0.7972577245110184</v>
      </c>
      <c r="O83" s="25"/>
      <c r="P83" s="34">
        <f>SUM(P80:P82)</f>
        <v>-23802.959999999992</v>
      </c>
      <c r="Q83" s="13"/>
      <c r="R83" s="30">
        <f>IF(P$12=0,0,P83/P$12)</f>
        <v>-0.28195587181226622</v>
      </c>
      <c r="S83" s="13"/>
      <c r="T83" s="34">
        <f>SUM(T80:T82)</f>
        <v>-37494.020000000019</v>
      </c>
      <c r="U83" s="13"/>
      <c r="V83" s="30">
        <f>IF(T$12=0,0,T83/T$12)</f>
        <v>-0.52093108427494517</v>
      </c>
      <c r="W83" s="15"/>
      <c r="X83" s="34">
        <f>+P83-T83</f>
        <v>13691.060000000027</v>
      </c>
      <c r="Y83" s="15"/>
      <c r="Z83" s="30">
        <f>IF(T83=0,0,X83/T83)</f>
        <v>-0.36515316309107476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1">
        <v>44517.967041516204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8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127039.83</v>
      </c>
      <c r="E12" s="4"/>
      <c r="F12" s="12"/>
      <c r="G12" s="4"/>
      <c r="H12" s="4">
        <f>SUM(OSRRefH13x_0)</f>
        <v>172836.80000000005</v>
      </c>
      <c r="I12" s="4"/>
      <c r="J12" s="12"/>
      <c r="K12" s="4"/>
      <c r="L12" s="4">
        <f t="shared" ref="L12:L33" si="0">+D12-H12</f>
        <v>-45796.970000000045</v>
      </c>
      <c r="M12" s="4"/>
      <c r="N12" s="12">
        <f t="shared" ref="N12:N33" si="1">IF(H12=0,0,L12/H12)</f>
        <v>-0.26497233228108846</v>
      </c>
      <c r="O12" s="10"/>
      <c r="P12" s="4">
        <f>SUM(OSRRefP13x_0)</f>
        <v>740579.71</v>
      </c>
      <c r="Q12" s="4"/>
      <c r="R12" s="12"/>
      <c r="S12" s="4"/>
      <c r="T12" s="4">
        <f>SUM(OSRRefT13x_0)</f>
        <v>1136121.5299999998</v>
      </c>
      <c r="U12" s="4"/>
      <c r="V12" s="12"/>
      <c r="W12" s="4"/>
      <c r="X12" s="4">
        <f t="shared" ref="X12:X33" si="2">+P12-T12</f>
        <v>-395541.81999999983</v>
      </c>
      <c r="Y12" s="4"/>
      <c r="Z12" s="12">
        <f t="shared" ref="Z12:Z33" si="3">IF(T12=0,0,X12/T12)</f>
        <v>-0.3481509764188695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--84581.19</f>
        <v>84581.19</v>
      </c>
      <c r="E13" s="2"/>
      <c r="F13" s="19"/>
      <c r="G13" s="2"/>
      <c r="H13" s="2">
        <f>-178.39</f>
        <v>-178.39</v>
      </c>
      <c r="I13" s="2"/>
      <c r="J13" s="19"/>
      <c r="K13" s="2"/>
      <c r="L13" s="2">
        <f t="shared" si="0"/>
        <v>84759.58</v>
      </c>
      <c r="M13" s="2"/>
      <c r="N13" s="19">
        <f t="shared" si="1"/>
        <v>-475.13638656875389</v>
      </c>
      <c r="O13" s="11"/>
      <c r="P13" s="2">
        <f>--582510.51</f>
        <v>582510.51</v>
      </c>
      <c r="Q13" s="2"/>
      <c r="R13" s="19"/>
      <c r="S13" s="2"/>
      <c r="T13" s="2">
        <f>-1902.09</f>
        <v>-1902.09</v>
      </c>
      <c r="U13" s="2"/>
      <c r="V13" s="19"/>
      <c r="W13" s="2"/>
      <c r="X13" s="2">
        <f t="shared" si="2"/>
        <v>584412.6</v>
      </c>
      <c r="Y13" s="2"/>
      <c r="Z13" s="19">
        <f t="shared" si="3"/>
        <v>-307.24760658013025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--5014.67</f>
        <v>5014.67</v>
      </c>
      <c r="I14" s="2"/>
      <c r="J14" s="19"/>
      <c r="K14" s="2"/>
      <c r="L14" s="2">
        <f t="shared" si="0"/>
        <v>-5014.67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--55045.34</f>
        <v>55045.34</v>
      </c>
      <c r="U14" s="2"/>
      <c r="V14" s="19"/>
      <c r="W14" s="2"/>
      <c r="X14" s="2">
        <f t="shared" si="2"/>
        <v>-55045.34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--152786.78</f>
        <v>152786.78</v>
      </c>
      <c r="I15" s="2"/>
      <c r="J15" s="19"/>
      <c r="K15" s="2"/>
      <c r="L15" s="2">
        <f t="shared" si="0"/>
        <v>-152786.78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--892099.99</f>
        <v>892099.99</v>
      </c>
      <c r="U15" s="2"/>
      <c r="V15" s="19"/>
      <c r="W15" s="2"/>
      <c r="X15" s="2">
        <f t="shared" si="2"/>
        <v>-892099.99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--3392.4</f>
        <v>3392.4</v>
      </c>
      <c r="I16" s="2"/>
      <c r="J16" s="19"/>
      <c r="K16" s="2"/>
      <c r="L16" s="2">
        <f t="shared" si="0"/>
        <v>-3392.4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--72045.1</f>
        <v>72045.100000000006</v>
      </c>
      <c r="U16" s="2"/>
      <c r="V16" s="19"/>
      <c r="W16" s="2"/>
      <c r="X16" s="2">
        <f t="shared" si="2"/>
        <v>-72045.100000000006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--139</f>
        <v>139</v>
      </c>
      <c r="I17" s="2"/>
      <c r="J17" s="19"/>
      <c r="K17" s="2"/>
      <c r="L17" s="2">
        <f t="shared" si="0"/>
        <v>-139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--1120.96</f>
        <v>1120.96</v>
      </c>
      <c r="U17" s="2"/>
      <c r="V17" s="19"/>
      <c r="W17" s="2"/>
      <c r="X17" s="2">
        <f t="shared" si="2"/>
        <v>-1120.96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--1385.25</f>
        <v>1385.25</v>
      </c>
      <c r="I18" s="2"/>
      <c r="J18" s="19"/>
      <c r="K18" s="2"/>
      <c r="L18" s="2">
        <f t="shared" si="0"/>
        <v>-1385.25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--29366.66</f>
        <v>29366.66</v>
      </c>
      <c r="U18" s="2"/>
      <c r="V18" s="19"/>
      <c r="W18" s="2"/>
      <c r="X18" s="2">
        <f t="shared" si="2"/>
        <v>-29366.66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--70707.37</f>
        <v>70707.37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70707.37</v>
      </c>
      <c r="M19" s="2"/>
      <c r="N19" s="19">
        <f t="shared" si="1"/>
        <v>0</v>
      </c>
      <c r="O19" s="11"/>
      <c r="P19" s="2">
        <f>--267181.89</f>
        <v>267181.89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267181.89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--194.97</f>
        <v>194.97</v>
      </c>
      <c r="I20" s="2"/>
      <c r="J20" s="19"/>
      <c r="K20" s="2"/>
      <c r="L20" s="2">
        <f t="shared" si="0"/>
        <v>-194.97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--3504.13</f>
        <v>3504.13</v>
      </c>
      <c r="U20" s="2"/>
      <c r="V20" s="19"/>
      <c r="W20" s="2"/>
      <c r="X20" s="2">
        <f t="shared" si="2"/>
        <v>-3504.13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--24570</f>
        <v>24570</v>
      </c>
      <c r="I21" s="2"/>
      <c r="J21" s="19"/>
      <c r="K21" s="2"/>
      <c r="L21" s="2">
        <f t="shared" si="0"/>
        <v>-24570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--145294.38</f>
        <v>145294.38</v>
      </c>
      <c r="U21" s="2"/>
      <c r="V21" s="19"/>
      <c r="W21" s="2"/>
      <c r="X21" s="2">
        <f t="shared" si="2"/>
        <v>-145294.38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--1269.91</f>
        <v>1269.9100000000001</v>
      </c>
      <c r="I22" s="2"/>
      <c r="J22" s="19"/>
      <c r="K22" s="2"/>
      <c r="L22" s="2">
        <f t="shared" si="0"/>
        <v>-1269.9100000000001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--6336.39</f>
        <v>6336.39</v>
      </c>
      <c r="U22" s="2"/>
      <c r="V22" s="19"/>
      <c r="W22" s="2"/>
      <c r="X22" s="2">
        <f t="shared" si="2"/>
        <v>-6336.39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--4590.76</f>
        <v>4590.76</v>
      </c>
      <c r="I23" s="2"/>
      <c r="J23" s="19"/>
      <c r="K23" s="2"/>
      <c r="L23" s="2">
        <f t="shared" si="0"/>
        <v>-4590.76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--23816.85</f>
        <v>23816.85</v>
      </c>
      <c r="U23" s="2"/>
      <c r="V23" s="19"/>
      <c r="W23" s="2"/>
      <c r="X23" s="2">
        <f t="shared" si="2"/>
        <v>-23816.85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--855.98</f>
        <v>855.98</v>
      </c>
      <c r="I24" s="2"/>
      <c r="J24" s="19"/>
      <c r="K24" s="2"/>
      <c r="L24" s="2">
        <f t="shared" si="0"/>
        <v>-855.98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--1729.77</f>
        <v>1729.77</v>
      </c>
      <c r="U24" s="2"/>
      <c r="V24" s="19"/>
      <c r="W24" s="2"/>
      <c r="X24" s="2">
        <f t="shared" si="2"/>
        <v>-1729.77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"4200", " - ", "TAXABLE RETURNS")</f>
        <v xml:space="preserve">          4200 - TAXABLE RETURNS</v>
      </c>
      <c r="C25" s="11"/>
      <c r="D25" s="2">
        <f>-28193.19</f>
        <v>-28193.19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-28193.19</v>
      </c>
      <c r="M25" s="2"/>
      <c r="N25" s="19">
        <f t="shared" si="1"/>
        <v>0</v>
      </c>
      <c r="O25" s="11"/>
      <c r="P25" s="2">
        <f>-108367.35</f>
        <v>-108367.35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-108367.35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2" si="8">0</f>
        <v>0</v>
      </c>
      <c r="E26" s="2"/>
      <c r="F26" s="19"/>
      <c r="G26" s="2"/>
      <c r="H26" s="2">
        <f>-357.99</f>
        <v>-357.99</v>
      </c>
      <c r="I26" s="2"/>
      <c r="J26" s="19"/>
      <c r="K26" s="2"/>
      <c r="L26" s="2">
        <f t="shared" si="0"/>
        <v>357.99</v>
      </c>
      <c r="M26" s="2"/>
      <c r="N26" s="19">
        <f t="shared" si="1"/>
        <v>-1</v>
      </c>
      <c r="O26" s="11"/>
      <c r="P26" s="2">
        <f t="shared" ref="P26:P30" si="9">0</f>
        <v>0</v>
      </c>
      <c r="Q26" s="2"/>
      <c r="R26" s="19"/>
      <c r="S26" s="2"/>
      <c r="T26" s="2">
        <f>-14632.15</f>
        <v>-14632.15</v>
      </c>
      <c r="U26" s="2"/>
      <c r="V26" s="19"/>
      <c r="W26" s="2"/>
      <c r="X26" s="2">
        <f t="shared" si="2"/>
        <v>14632.15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-20038</f>
        <v>-20038</v>
      </c>
      <c r="I27" s="2"/>
      <c r="J27" s="19"/>
      <c r="K27" s="2"/>
      <c r="L27" s="2">
        <f t="shared" si="0"/>
        <v>20038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-68323</f>
        <v>-68323</v>
      </c>
      <c r="U27" s="2"/>
      <c r="V27" s="19"/>
      <c r="W27" s="2"/>
      <c r="X27" s="2">
        <f t="shared" si="2"/>
        <v>68323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-629.58</f>
        <v>-629.58000000000004</v>
      </c>
      <c r="I28" s="2"/>
      <c r="J28" s="19"/>
      <c r="K28" s="2"/>
      <c r="L28" s="2">
        <f t="shared" si="0"/>
        <v>629.58000000000004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-2632.31</f>
        <v>-2632.31</v>
      </c>
      <c r="U28" s="2"/>
      <c r="V28" s="19"/>
      <c r="W28" s="2"/>
      <c r="X28" s="2">
        <f t="shared" si="2"/>
        <v>2632.31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8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9"/>
        <v>0</v>
      </c>
      <c r="Q29" s="2"/>
      <c r="R29" s="19"/>
      <c r="S29" s="2"/>
      <c r="T29" s="2">
        <f>-552.98</f>
        <v>-552.98</v>
      </c>
      <c r="U29" s="2"/>
      <c r="V29" s="19"/>
      <c r="W29" s="2"/>
      <c r="X29" s="2">
        <f t="shared" si="2"/>
        <v>552.98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8"/>
        <v>0</v>
      </c>
      <c r="E30" s="2"/>
      <c r="F30" s="19"/>
      <c r="G30" s="2"/>
      <c r="H30" s="2">
        <f>-158.96</f>
        <v>-158.96</v>
      </c>
      <c r="I30" s="2"/>
      <c r="J30" s="19"/>
      <c r="K30" s="2"/>
      <c r="L30" s="2">
        <f t="shared" si="0"/>
        <v>158.96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-571.36</f>
        <v>-571.36</v>
      </c>
      <c r="U30" s="2"/>
      <c r="V30" s="19"/>
      <c r="W30" s="2"/>
      <c r="X30" s="2">
        <f t="shared" si="2"/>
        <v>571.36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"4300", " - ", "NON-TAX RETURNS")</f>
        <v xml:space="preserve">          4300 - NON-TAX RETURNS</v>
      </c>
      <c r="C31" s="11"/>
      <c r="D31" s="2">
        <f t="shared" si="8"/>
        <v>0</v>
      </c>
      <c r="E31" s="2"/>
      <c r="F31" s="19"/>
      <c r="G31" s="2"/>
      <c r="H31" s="2">
        <f t="shared" ref="H31:H33" si="10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-689.8</f>
        <v>-689.8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-689.8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 t="shared" si="8"/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"4500", " - ", "SALES DISCOUNT")</f>
        <v xml:space="preserve">          4500 - SALES DISCOUNT</v>
      </c>
      <c r="C33" s="11"/>
      <c r="D33" s="2">
        <f>-55.54</f>
        <v>-55.54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-55.54</v>
      </c>
      <c r="M33" s="2"/>
      <c r="N33" s="19">
        <f t="shared" si="1"/>
        <v>0</v>
      </c>
      <c r="O33" s="11"/>
      <c r="P33" s="2">
        <f>-55.54</f>
        <v>-55.54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-55.54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256</v>
      </c>
      <c r="C35" s="10"/>
      <c r="D35" s="4">
        <f>SUM(OSRRefD16x_0)</f>
        <v>128311.79</v>
      </c>
      <c r="E35" s="4"/>
      <c r="F35" s="12">
        <f t="shared" ref="F35:F47" si="11">IF(D$12=0,0,D35/D$12)</f>
        <v>1.0100122929950395</v>
      </c>
      <c r="G35" s="4"/>
      <c r="H35" s="4">
        <f>SUM(OSRRefH16x_0)</f>
        <v>156723</v>
      </c>
      <c r="I35" s="4"/>
      <c r="J35" s="12">
        <f t="shared" ref="J35:J47" si="12">IF(H$12=0,0,H35/H$12)</f>
        <v>0.90676869740703347</v>
      </c>
      <c r="K35" s="4"/>
      <c r="L35" s="4">
        <f t="shared" ref="L35:L47" si="13">+D35-H35</f>
        <v>-28411.210000000006</v>
      </c>
      <c r="M35" s="4"/>
      <c r="N35" s="12">
        <f t="shared" ref="N35:N47" si="14">IF(H35=0,0,L35/H35)</f>
        <v>-0.18128296421074128</v>
      </c>
      <c r="O35" s="10"/>
      <c r="P35" s="4">
        <f>SUM(OSRRefP16x_0)</f>
        <v>619734.33999999985</v>
      </c>
      <c r="Q35" s="4"/>
      <c r="R35" s="12">
        <f t="shared" ref="R35:R47" si="15">IF(P$12=0,0,P35/P$12)</f>
        <v>0.83682327726747996</v>
      </c>
      <c r="S35" s="4"/>
      <c r="T35" s="4">
        <f>SUM(OSRRefT16x_0)</f>
        <v>1081274.9999999998</v>
      </c>
      <c r="U35" s="4"/>
      <c r="V35" s="12">
        <f t="shared" ref="V35:V47" si="16">IF(T$12=0,0,T35/T$12)</f>
        <v>0.95172476838811426</v>
      </c>
      <c r="W35" s="4"/>
      <c r="X35" s="4">
        <f t="shared" ref="X35:X47" si="17">+P35-T35</f>
        <v>-461540.65999999992</v>
      </c>
      <c r="Y35" s="4"/>
      <c r="Z35" s="12">
        <f t="shared" ref="Z35:Z47" si="18">IF(T35=0,0,X35/T35)</f>
        <v>-0.42684854454232274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134649.96</v>
      </c>
      <c r="E36" s="2"/>
      <c r="F36" s="19">
        <f t="shared" si="11"/>
        <v>1.0599034964073866</v>
      </c>
      <c r="G36" s="2"/>
      <c r="H36" s="2"/>
      <c r="I36" s="2"/>
      <c r="J36" s="19">
        <f t="shared" si="12"/>
        <v>0</v>
      </c>
      <c r="K36" s="2"/>
      <c r="L36" s="2">
        <f t="shared" si="13"/>
        <v>134649.96</v>
      </c>
      <c r="M36" s="2"/>
      <c r="N36" s="19">
        <f t="shared" si="14"/>
        <v>0</v>
      </c>
      <c r="O36" s="11"/>
      <c r="P36" s="2">
        <v>686852.19</v>
      </c>
      <c r="Q36" s="2"/>
      <c r="R36" s="19">
        <f t="shared" si="15"/>
        <v>0.92745207669813146</v>
      </c>
      <c r="S36" s="2"/>
      <c r="T36" s="2">
        <v>0</v>
      </c>
      <c r="U36" s="2"/>
      <c r="V36" s="19">
        <f t="shared" si="16"/>
        <v>0</v>
      </c>
      <c r="W36" s="2"/>
      <c r="X36" s="2">
        <f t="shared" si="17"/>
        <v>686852.19</v>
      </c>
      <c r="Y36" s="2"/>
      <c r="Z36" s="19">
        <f t="shared" si="18"/>
        <v>0</v>
      </c>
    </row>
    <row r="37" spans="1:26" s="24" customFormat="1" hidden="1" outlineLevel="1" x14ac:dyDescent="0.25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1"/>
        <v>0</v>
      </c>
      <c r="G37" s="2"/>
      <c r="H37" s="2">
        <v>6249.76</v>
      </c>
      <c r="I37" s="2"/>
      <c r="J37" s="19">
        <f t="shared" si="12"/>
        <v>3.6159891874878489E-2</v>
      </c>
      <c r="K37" s="2"/>
      <c r="L37" s="2">
        <f t="shared" si="13"/>
        <v>-6249.76</v>
      </c>
      <c r="M37" s="2"/>
      <c r="N37" s="19">
        <f t="shared" si="14"/>
        <v>-1</v>
      </c>
      <c r="O37" s="11"/>
      <c r="P37" s="2">
        <v>0</v>
      </c>
      <c r="Q37" s="2"/>
      <c r="R37" s="19">
        <f t="shared" si="15"/>
        <v>0</v>
      </c>
      <c r="S37" s="2"/>
      <c r="T37" s="2">
        <v>21947.21</v>
      </c>
      <c r="U37" s="2"/>
      <c r="V37" s="19">
        <f t="shared" si="16"/>
        <v>1.931766049711249E-2</v>
      </c>
      <c r="W37" s="2"/>
      <c r="X37" s="2">
        <f t="shared" si="17"/>
        <v>-21947.21</v>
      </c>
      <c r="Y37" s="2"/>
      <c r="Z37" s="19">
        <f t="shared" si="18"/>
        <v>-1</v>
      </c>
    </row>
    <row r="38" spans="1:26" s="24" customFormat="1" hidden="1" outlineLevel="1" x14ac:dyDescent="0.25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-20540.88</v>
      </c>
      <c r="E38" s="2"/>
      <c r="F38" s="19">
        <f t="shared" si="11"/>
        <v>-0.16168850351893577</v>
      </c>
      <c r="G38" s="2"/>
      <c r="H38" s="2">
        <v>175404.87</v>
      </c>
      <c r="I38" s="2"/>
      <c r="J38" s="19">
        <f t="shared" si="12"/>
        <v>1.0148583519250527</v>
      </c>
      <c r="K38" s="2"/>
      <c r="L38" s="2">
        <f t="shared" si="13"/>
        <v>-195945.75</v>
      </c>
      <c r="M38" s="2"/>
      <c r="N38" s="19">
        <f t="shared" si="14"/>
        <v>-1.1171055284839013</v>
      </c>
      <c r="O38" s="11"/>
      <c r="P38" s="2">
        <v>-77324.73</v>
      </c>
      <c r="Q38" s="2"/>
      <c r="R38" s="19">
        <f t="shared" si="15"/>
        <v>-0.10441108358207653</v>
      </c>
      <c r="S38" s="2"/>
      <c r="T38" s="2">
        <v>888778.08</v>
      </c>
      <c r="U38" s="2"/>
      <c r="V38" s="19">
        <f t="shared" si="16"/>
        <v>0.78229138039484214</v>
      </c>
      <c r="W38" s="2"/>
      <c r="X38" s="2">
        <f t="shared" si="17"/>
        <v>-966102.80999999994</v>
      </c>
      <c r="Y38" s="2"/>
      <c r="Z38" s="19">
        <f t="shared" si="18"/>
        <v>-1.0870011668154551</v>
      </c>
    </row>
    <row r="39" spans="1:26" s="24" customFormat="1" hidden="1" outlineLevel="1" x14ac:dyDescent="0.25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1"/>
        <v>0</v>
      </c>
      <c r="G39" s="2"/>
      <c r="H39" s="2">
        <v>11838.95</v>
      </c>
      <c r="I39" s="2"/>
      <c r="J39" s="19">
        <f t="shared" si="12"/>
        <v>6.8497854623552373E-2</v>
      </c>
      <c r="K39" s="2"/>
      <c r="L39" s="2">
        <f t="shared" si="13"/>
        <v>-11838.95</v>
      </c>
      <c r="M39" s="2"/>
      <c r="N39" s="19">
        <f t="shared" si="14"/>
        <v>-1</v>
      </c>
      <c r="O39" s="11"/>
      <c r="P39" s="2">
        <v>0</v>
      </c>
      <c r="Q39" s="2"/>
      <c r="R39" s="19">
        <f t="shared" si="15"/>
        <v>0</v>
      </c>
      <c r="S39" s="2"/>
      <c r="T39" s="2">
        <v>73272.95</v>
      </c>
      <c r="U39" s="2"/>
      <c r="V39" s="19">
        <f t="shared" si="16"/>
        <v>6.4493936665384735E-2</v>
      </c>
      <c r="W39" s="2"/>
      <c r="X39" s="2">
        <f t="shared" si="17"/>
        <v>-73272.95</v>
      </c>
      <c r="Y39" s="2"/>
      <c r="Z39" s="19">
        <f t="shared" si="18"/>
        <v>-1</v>
      </c>
    </row>
    <row r="40" spans="1:26" s="24" customFormat="1" hidden="1" outlineLevel="1" x14ac:dyDescent="0.25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1"/>
        <v>0</v>
      </c>
      <c r="G40" s="2"/>
      <c r="H40" s="2">
        <v>5843.52</v>
      </c>
      <c r="I40" s="2"/>
      <c r="J40" s="19">
        <f t="shared" si="12"/>
        <v>3.380946650250409E-2</v>
      </c>
      <c r="K40" s="2"/>
      <c r="L40" s="2">
        <f t="shared" si="13"/>
        <v>-5843.52</v>
      </c>
      <c r="M40" s="2"/>
      <c r="N40" s="19">
        <f t="shared" si="14"/>
        <v>-1</v>
      </c>
      <c r="O40" s="11"/>
      <c r="P40" s="2">
        <v>0</v>
      </c>
      <c r="Q40" s="2"/>
      <c r="R40" s="19">
        <f t="shared" si="15"/>
        <v>0</v>
      </c>
      <c r="S40" s="2"/>
      <c r="T40" s="2">
        <v>20681.2</v>
      </c>
      <c r="U40" s="2"/>
      <c r="V40" s="19">
        <f t="shared" si="16"/>
        <v>1.820333428590162E-2</v>
      </c>
      <c r="W40" s="2"/>
      <c r="X40" s="2">
        <f t="shared" si="17"/>
        <v>-20681.2</v>
      </c>
      <c r="Y40" s="2"/>
      <c r="Z40" s="19">
        <f t="shared" si="18"/>
        <v>-1</v>
      </c>
    </row>
    <row r="41" spans="1:26" s="24" customFormat="1" hidden="1" outlineLevel="1" x14ac:dyDescent="0.25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1"/>
        <v>0</v>
      </c>
      <c r="G41" s="2"/>
      <c r="H41" s="2">
        <v>773.47</v>
      </c>
      <c r="I41" s="2"/>
      <c r="J41" s="19">
        <f t="shared" si="12"/>
        <v>4.4751464965794314E-3</v>
      </c>
      <c r="K41" s="2"/>
      <c r="L41" s="2">
        <f t="shared" si="13"/>
        <v>-773.47</v>
      </c>
      <c r="M41" s="2"/>
      <c r="N41" s="19">
        <f t="shared" si="14"/>
        <v>-1</v>
      </c>
      <c r="O41" s="11"/>
      <c r="P41" s="2">
        <v>0</v>
      </c>
      <c r="Q41" s="2"/>
      <c r="R41" s="19">
        <f t="shared" si="15"/>
        <v>0</v>
      </c>
      <c r="S41" s="2"/>
      <c r="T41" s="2">
        <v>22529.439999999999</v>
      </c>
      <c r="U41" s="2"/>
      <c r="V41" s="19">
        <f t="shared" si="16"/>
        <v>1.9830132081028341E-2</v>
      </c>
      <c r="W41" s="2"/>
      <c r="X41" s="2">
        <f t="shared" si="17"/>
        <v>-22529.439999999999</v>
      </c>
      <c r="Y41" s="2"/>
      <c r="Z41" s="19">
        <f t="shared" si="18"/>
        <v>-1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-134658.5</v>
      </c>
      <c r="E42" s="2"/>
      <c r="F42" s="19">
        <f t="shared" si="11"/>
        <v>-1.059970719419256</v>
      </c>
      <c r="G42" s="2"/>
      <c r="H42" s="2">
        <v>-200232.35</v>
      </c>
      <c r="I42" s="2"/>
      <c r="J42" s="19">
        <f t="shared" si="12"/>
        <v>-1.1585053067402309</v>
      </c>
      <c r="K42" s="2"/>
      <c r="L42" s="2">
        <f t="shared" si="13"/>
        <v>65573.850000000006</v>
      </c>
      <c r="M42" s="2"/>
      <c r="N42" s="19">
        <f t="shared" si="14"/>
        <v>-0.32748878989833563</v>
      </c>
      <c r="O42" s="11"/>
      <c r="P42" s="2">
        <v>-686896.38</v>
      </c>
      <c r="Q42" s="2"/>
      <c r="R42" s="19">
        <f t="shared" si="15"/>
        <v>-0.9275117461697675</v>
      </c>
      <c r="S42" s="2"/>
      <c r="T42" s="2">
        <v>-1027552.17</v>
      </c>
      <c r="U42" s="2"/>
      <c r="V42" s="19">
        <f t="shared" si="16"/>
        <v>-0.90443860350045491</v>
      </c>
      <c r="W42" s="2"/>
      <c r="X42" s="2">
        <f t="shared" si="17"/>
        <v>340655.79000000004</v>
      </c>
      <c r="Y42" s="2"/>
      <c r="Z42" s="19">
        <f t="shared" si="18"/>
        <v>-0.33152164916356514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>
        <v>148852.67000000001</v>
      </c>
      <c r="E43" s="2"/>
      <c r="F43" s="19">
        <f t="shared" si="11"/>
        <v>1.1717007965139752</v>
      </c>
      <c r="G43" s="2"/>
      <c r="H43" s="2">
        <v>156723</v>
      </c>
      <c r="I43" s="2"/>
      <c r="J43" s="19">
        <f t="shared" si="12"/>
        <v>0.90676869740703347</v>
      </c>
      <c r="K43" s="2"/>
      <c r="L43" s="2">
        <f t="shared" si="13"/>
        <v>-7870.3299999999872</v>
      </c>
      <c r="M43" s="2"/>
      <c r="N43" s="19">
        <f t="shared" si="14"/>
        <v>-5.0218091792525586E-2</v>
      </c>
      <c r="O43" s="11"/>
      <c r="P43" s="2">
        <v>697059.07</v>
      </c>
      <c r="Q43" s="2"/>
      <c r="R43" s="19">
        <f t="shared" si="15"/>
        <v>0.94123436084955658</v>
      </c>
      <c r="S43" s="2"/>
      <c r="T43" s="2">
        <v>1081275</v>
      </c>
      <c r="U43" s="2"/>
      <c r="V43" s="19">
        <f t="shared" si="16"/>
        <v>0.95172476838811437</v>
      </c>
      <c r="W43" s="2"/>
      <c r="X43" s="2">
        <f t="shared" si="17"/>
        <v>-384215.93000000005</v>
      </c>
      <c r="Y43" s="2"/>
      <c r="Z43" s="19">
        <f t="shared" si="18"/>
        <v>-0.35533599685556411</v>
      </c>
    </row>
    <row r="44" spans="1:26" s="24" customFormat="1" hidden="1" outlineLevel="1" x14ac:dyDescent="0.25">
      <c r="A44" s="44"/>
      <c r="B44" s="11" t="str">
        <f>CONCATENATE("          ", "5500", " - ", "FREIGHT-IN")</f>
        <v xml:space="preserve">          5500 - FREIGHT-IN</v>
      </c>
      <c r="C44" s="11"/>
      <c r="D44" s="2">
        <v>8.5399999999999991</v>
      </c>
      <c r="E44" s="2"/>
      <c r="F44" s="19">
        <f t="shared" si="11"/>
        <v>6.7223011869584515E-5</v>
      </c>
      <c r="G44" s="2"/>
      <c r="H44" s="2"/>
      <c r="I44" s="2"/>
      <c r="J44" s="19">
        <f t="shared" si="12"/>
        <v>0</v>
      </c>
      <c r="K44" s="2"/>
      <c r="L44" s="2">
        <f t="shared" si="13"/>
        <v>8.5399999999999991</v>
      </c>
      <c r="M44" s="2"/>
      <c r="N44" s="19">
        <f t="shared" si="14"/>
        <v>0</v>
      </c>
      <c r="O44" s="11"/>
      <c r="P44" s="2">
        <v>44.19</v>
      </c>
      <c r="Q44" s="2"/>
      <c r="R44" s="19">
        <f t="shared" si="15"/>
        <v>5.9669471635943144E-5</v>
      </c>
      <c r="S44" s="2"/>
      <c r="T44" s="2">
        <v>0</v>
      </c>
      <c r="U44" s="2"/>
      <c r="V44" s="19">
        <f t="shared" si="16"/>
        <v>0</v>
      </c>
      <c r="W44" s="2"/>
      <c r="X44" s="2">
        <f t="shared" si="17"/>
        <v>44.19</v>
      </c>
      <c r="Y44" s="2"/>
      <c r="Z44" s="19">
        <f t="shared" si="18"/>
        <v>0</v>
      </c>
    </row>
    <row r="45" spans="1:26" s="24" customFormat="1" hidden="1" outlineLevel="1" x14ac:dyDescent="0.25">
      <c r="A45" s="44"/>
      <c r="B45" s="11" t="str">
        <f>CONCATENATE("          ", "5582", " - ", "FREIGHT-IN-COMPUTER HARDWARE")</f>
        <v xml:space="preserve">          5582 - FREIGHT-IN-COMPUTER HARDWARE</v>
      </c>
      <c r="C45" s="11"/>
      <c r="D45" s="2"/>
      <c r="E45" s="2"/>
      <c r="F45" s="19">
        <f t="shared" si="11"/>
        <v>0</v>
      </c>
      <c r="G45" s="2"/>
      <c r="H45" s="2">
        <v>70</v>
      </c>
      <c r="I45" s="2"/>
      <c r="J45" s="19">
        <f t="shared" si="12"/>
        <v>4.0500634124214274E-4</v>
      </c>
      <c r="K45" s="2"/>
      <c r="L45" s="2">
        <f t="shared" si="13"/>
        <v>-70</v>
      </c>
      <c r="M45" s="2"/>
      <c r="N45" s="19">
        <f t="shared" si="14"/>
        <v>-1</v>
      </c>
      <c r="O45" s="11"/>
      <c r="P45" s="2"/>
      <c r="Q45" s="2"/>
      <c r="R45" s="19">
        <f t="shared" si="15"/>
        <v>0</v>
      </c>
      <c r="S45" s="2"/>
      <c r="T45" s="2">
        <v>94</v>
      </c>
      <c r="U45" s="2"/>
      <c r="V45" s="19">
        <f t="shared" si="16"/>
        <v>8.2737627549404874E-5</v>
      </c>
      <c r="W45" s="2"/>
      <c r="X45" s="2">
        <f t="shared" si="17"/>
        <v>-94</v>
      </c>
      <c r="Y45" s="2"/>
      <c r="Z45" s="19">
        <f t="shared" si="18"/>
        <v>-1</v>
      </c>
    </row>
    <row r="46" spans="1:26" s="24" customFormat="1" hidden="1" outlineLevel="1" x14ac:dyDescent="0.25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2"/>
      <c r="E46" s="2"/>
      <c r="F46" s="19">
        <f t="shared" si="11"/>
        <v>0</v>
      </c>
      <c r="G46" s="2"/>
      <c r="H46" s="2">
        <v>51.78</v>
      </c>
      <c r="I46" s="2"/>
      <c r="J46" s="19">
        <f t="shared" si="12"/>
        <v>2.9958897642168791E-4</v>
      </c>
      <c r="K46" s="2"/>
      <c r="L46" s="2">
        <f t="shared" si="13"/>
        <v>-51.78</v>
      </c>
      <c r="M46" s="2"/>
      <c r="N46" s="19">
        <f t="shared" si="14"/>
        <v>-1</v>
      </c>
      <c r="O46" s="11"/>
      <c r="P46" s="2">
        <v>0</v>
      </c>
      <c r="Q46" s="2"/>
      <c r="R46" s="19">
        <f t="shared" si="15"/>
        <v>0</v>
      </c>
      <c r="S46" s="2"/>
      <c r="T46" s="2">
        <v>225.17</v>
      </c>
      <c r="U46" s="2"/>
      <c r="V46" s="19">
        <f t="shared" si="16"/>
        <v>1.9819182548190951E-4</v>
      </c>
      <c r="W46" s="2"/>
      <c r="X46" s="2">
        <f t="shared" si="17"/>
        <v>-225.17</v>
      </c>
      <c r="Y46" s="2"/>
      <c r="Z46" s="19">
        <f t="shared" si="18"/>
        <v>-1</v>
      </c>
    </row>
    <row r="47" spans="1:26" s="24" customFormat="1" hidden="1" outlineLevel="1" x14ac:dyDescent="0.25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11"/>
        <v>0</v>
      </c>
      <c r="G47" s="2"/>
      <c r="H47" s="2"/>
      <c r="I47" s="2"/>
      <c r="J47" s="19">
        <f t="shared" si="12"/>
        <v>0</v>
      </c>
      <c r="K47" s="2"/>
      <c r="L47" s="2">
        <f t="shared" si="13"/>
        <v>0</v>
      </c>
      <c r="M47" s="2"/>
      <c r="N47" s="19">
        <f t="shared" si="14"/>
        <v>0</v>
      </c>
      <c r="O47" s="11"/>
      <c r="P47" s="2"/>
      <c r="Q47" s="2"/>
      <c r="R47" s="19">
        <f t="shared" si="15"/>
        <v>0</v>
      </c>
      <c r="S47" s="2"/>
      <c r="T47" s="2">
        <v>24.12</v>
      </c>
      <c r="U47" s="2"/>
      <c r="V47" s="19">
        <f t="shared" si="16"/>
        <v>2.1230123154166442E-5</v>
      </c>
      <c r="W47" s="2"/>
      <c r="X47" s="2">
        <f t="shared" si="17"/>
        <v>-24.12</v>
      </c>
      <c r="Y47" s="2"/>
      <c r="Z47" s="19">
        <f t="shared" si="18"/>
        <v>-1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107</v>
      </c>
      <c r="C49" s="26"/>
      <c r="D49" s="22">
        <f>D12-D35</f>
        <v>-1271.9599999999919</v>
      </c>
      <c r="E49" s="13"/>
      <c r="F49" s="20">
        <f>IF(D$12=0,0,D49/D$12)</f>
        <v>-1.0012292995039366E-2</v>
      </c>
      <c r="G49" s="13"/>
      <c r="H49" s="22">
        <f>H12-H35</f>
        <v>16113.800000000047</v>
      </c>
      <c r="I49" s="13"/>
      <c r="J49" s="20">
        <f>IF(H$12=0,0,H49/H$12)</f>
        <v>9.3231302592966553E-2</v>
      </c>
      <c r="K49" s="15"/>
      <c r="L49" s="22">
        <f>+D49-H49</f>
        <v>-17385.760000000038</v>
      </c>
      <c r="M49" s="15"/>
      <c r="N49" s="20">
        <f>IF(H49=0,0,L49/H49)</f>
        <v>-1.0789360672218835</v>
      </c>
      <c r="O49" s="25"/>
      <c r="P49" s="22">
        <f>P12-P35</f>
        <v>120845.37000000011</v>
      </c>
      <c r="Q49" s="13"/>
      <c r="R49" s="20">
        <f>IF(P$12=0,0,P49/P$12)</f>
        <v>0.16317672273252007</v>
      </c>
      <c r="S49" s="13"/>
      <c r="T49" s="22">
        <f>T12-T35</f>
        <v>54846.530000000028</v>
      </c>
      <c r="U49" s="13"/>
      <c r="V49" s="20">
        <f>IF(T$12=0,0,T49/T$12)</f>
        <v>4.827523161188578E-2</v>
      </c>
      <c r="W49" s="15"/>
      <c r="X49" s="22">
        <f>+P49-T49</f>
        <v>65998.840000000084</v>
      </c>
      <c r="Y49" s="15"/>
      <c r="Z49" s="20">
        <f>IF(T49=0,0,X49/T49)</f>
        <v>1.2033366559379426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294</v>
      </c>
      <c r="C51" s="10"/>
      <c r="D51" s="21">
        <f>SUM(OSRRefD22x_0)</f>
        <v>15889.1</v>
      </c>
      <c r="E51" s="21"/>
      <c r="F51" s="36">
        <f t="shared" ref="F51:F61" si="19">IF(D$12=0,0,D51/D$12)</f>
        <v>0.12507179834859666</v>
      </c>
      <c r="G51" s="21"/>
      <c r="H51" s="21">
        <f>SUM(OSRRefH22x_0)</f>
        <v>14663.089999999998</v>
      </c>
      <c r="I51" s="21"/>
      <c r="J51" s="36">
        <f t="shared" ref="J51:J61" si="20">IF(H$12=0,0,H51/H$12)</f>
        <v>8.4837777602917858E-2</v>
      </c>
      <c r="K51" s="4"/>
      <c r="L51" s="21">
        <f t="shared" ref="L51:L61" si="21">+D51-H51</f>
        <v>1226.010000000002</v>
      </c>
      <c r="M51" s="4"/>
      <c r="N51" s="36">
        <f t="shared" ref="N51:N61" si="22">IF(H51=0,0,L51/H51)</f>
        <v>8.3611980830780017E-2</v>
      </c>
      <c r="O51" s="10"/>
      <c r="P51" s="21">
        <f>SUM(OSRRefP22x_0)</f>
        <v>59025.150000000009</v>
      </c>
      <c r="Q51" s="21"/>
      <c r="R51" s="36">
        <f t="shared" ref="R51:R61" si="23">IF(P$12=0,0,P51/P$12)</f>
        <v>7.9701278880567786E-2</v>
      </c>
      <c r="S51" s="21"/>
      <c r="T51" s="21">
        <f>SUM(OSRRefT22x_0)</f>
        <v>53904.79</v>
      </c>
      <c r="U51" s="21"/>
      <c r="V51" s="36">
        <f t="shared" ref="V51:V61" si="24">IF(T$12=0,0,T51/T$12)</f>
        <v>4.7446323810094518E-2</v>
      </c>
      <c r="W51" s="4"/>
      <c r="X51" s="21">
        <f t="shared" ref="X51:X61" si="25">+P51-T51</f>
        <v>5120.3600000000079</v>
      </c>
      <c r="Y51" s="4"/>
      <c r="Z51" s="36">
        <f t="shared" ref="Z51:Z61" si="26">IF(T51=0,0,X51/T51)</f>
        <v>9.4988961092326074E-2</v>
      </c>
    </row>
    <row r="52" spans="1:26" s="28" customFormat="1" outlineLevel="1" collapsed="1" x14ac:dyDescent="0.25">
      <c r="A52" s="27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1906.2399999999998</v>
      </c>
      <c r="E52" s="1"/>
      <c r="F52" s="5">
        <f t="shared" si="19"/>
        <v>1.5005057862561684E-2</v>
      </c>
      <c r="G52" s="1"/>
      <c r="H52" s="1">
        <f>SUM(OSRRefH22_0x_0)</f>
        <v>3471.1499999999996</v>
      </c>
      <c r="I52" s="1"/>
      <c r="J52" s="5">
        <f t="shared" si="20"/>
        <v>2.0083396591466626E-2</v>
      </c>
      <c r="K52" s="1"/>
      <c r="L52" s="1">
        <f t="shared" si="21"/>
        <v>-1564.9099999999999</v>
      </c>
      <c r="M52" s="1"/>
      <c r="N52" s="5">
        <f t="shared" si="22"/>
        <v>-0.45083329732221311</v>
      </c>
      <c r="O52" s="14"/>
      <c r="P52" s="1">
        <f>SUM(OSRRefP22_0x_0)</f>
        <v>6565.61</v>
      </c>
      <c r="Q52" s="1"/>
      <c r="R52" s="5">
        <f t="shared" si="23"/>
        <v>8.8655007845137961E-3</v>
      </c>
      <c r="S52" s="1"/>
      <c r="T52" s="1">
        <f>SUM(OSRRefT22_0x_0)</f>
        <v>11959.910000000002</v>
      </c>
      <c r="U52" s="1"/>
      <c r="V52" s="5">
        <f t="shared" si="24"/>
        <v>1.0526963607493649E-2</v>
      </c>
      <c r="W52" s="1"/>
      <c r="X52" s="1">
        <f t="shared" si="25"/>
        <v>-5394.300000000002</v>
      </c>
      <c r="Y52" s="1"/>
      <c r="Z52" s="5">
        <f t="shared" si="26"/>
        <v>-0.45103182214581894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6">
        <v>724.92</v>
      </c>
      <c r="E53" s="2"/>
      <c r="F53" s="7">
        <f t="shared" si="19"/>
        <v>5.7062418927985026E-3</v>
      </c>
      <c r="G53" s="2"/>
      <c r="H53" s="6">
        <v>929.65</v>
      </c>
      <c r="I53" s="2"/>
      <c r="J53" s="7">
        <f t="shared" si="20"/>
        <v>5.3787735019394005E-3</v>
      </c>
      <c r="K53" s="2"/>
      <c r="L53" s="6">
        <f t="shared" si="21"/>
        <v>-204.73000000000002</v>
      </c>
      <c r="M53" s="2"/>
      <c r="N53" s="7">
        <f t="shared" si="22"/>
        <v>-0.22022266444360783</v>
      </c>
      <c r="O53" s="11"/>
      <c r="P53" s="6">
        <v>2334.02</v>
      </c>
      <c r="Q53" s="2"/>
      <c r="R53" s="7">
        <f t="shared" si="23"/>
        <v>3.1516121336891611E-3</v>
      </c>
      <c r="S53" s="2"/>
      <c r="T53" s="6">
        <v>2499.0100000000002</v>
      </c>
      <c r="U53" s="2"/>
      <c r="V53" s="7">
        <f t="shared" si="24"/>
        <v>2.199597432151471E-3</v>
      </c>
      <c r="W53" s="2"/>
      <c r="X53" s="6">
        <f t="shared" si="25"/>
        <v>-164.99000000000024</v>
      </c>
      <c r="Y53" s="2"/>
      <c r="Z53" s="7">
        <f t="shared" si="26"/>
        <v>-6.6022144769328744E-2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6">
        <v>184.01</v>
      </c>
      <c r="E54" s="2"/>
      <c r="F54" s="7">
        <f t="shared" si="19"/>
        <v>1.4484433740189985E-3</v>
      </c>
      <c r="G54" s="2"/>
      <c r="H54" s="6">
        <v>156.43</v>
      </c>
      <c r="I54" s="2"/>
      <c r="J54" s="7">
        <f t="shared" si="20"/>
        <v>9.0507345657869136E-4</v>
      </c>
      <c r="K54" s="2"/>
      <c r="L54" s="6">
        <f t="shared" si="21"/>
        <v>27.579999999999984</v>
      </c>
      <c r="M54" s="2"/>
      <c r="N54" s="7">
        <f t="shared" si="22"/>
        <v>0.17630889215623591</v>
      </c>
      <c r="O54" s="11"/>
      <c r="P54" s="6">
        <v>609.96</v>
      </c>
      <c r="Q54" s="2"/>
      <c r="R54" s="7">
        <f t="shared" si="23"/>
        <v>8.2362504908485817E-4</v>
      </c>
      <c r="S54" s="2"/>
      <c r="T54" s="6">
        <v>468.93</v>
      </c>
      <c r="U54" s="2"/>
      <c r="V54" s="7">
        <f t="shared" si="24"/>
        <v>4.1274633709300457E-4</v>
      </c>
      <c r="W54" s="2"/>
      <c r="X54" s="6">
        <f t="shared" si="25"/>
        <v>141.03000000000003</v>
      </c>
      <c r="Y54" s="2"/>
      <c r="Z54" s="7">
        <f t="shared" si="26"/>
        <v>0.30074851257117274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6">
        <v>853.84</v>
      </c>
      <c r="E55" s="2"/>
      <c r="F55" s="7">
        <f t="shared" si="19"/>
        <v>6.7210417394292796E-3</v>
      </c>
      <c r="G55" s="2"/>
      <c r="H55" s="6">
        <v>1035.69</v>
      </c>
      <c r="I55" s="2"/>
      <c r="J55" s="7">
        <f t="shared" si="20"/>
        <v>5.992300250872498E-3</v>
      </c>
      <c r="K55" s="2"/>
      <c r="L55" s="6">
        <f t="shared" si="21"/>
        <v>-181.85000000000002</v>
      </c>
      <c r="M55" s="2"/>
      <c r="N55" s="7">
        <f t="shared" si="22"/>
        <v>-0.1755834274734718</v>
      </c>
      <c r="O55" s="11"/>
      <c r="P55" s="6">
        <v>2042.73</v>
      </c>
      <c r="Q55" s="2"/>
      <c r="R55" s="7">
        <f t="shared" si="23"/>
        <v>2.7582851277413475E-3</v>
      </c>
      <c r="S55" s="2"/>
      <c r="T55" s="6">
        <v>4142.76</v>
      </c>
      <c r="U55" s="2"/>
      <c r="V55" s="7">
        <f t="shared" si="24"/>
        <v>3.6464056798571551E-3</v>
      </c>
      <c r="W55" s="2"/>
      <c r="X55" s="6">
        <f t="shared" si="25"/>
        <v>-2100.0300000000002</v>
      </c>
      <c r="Y55" s="2"/>
      <c r="Z55" s="7">
        <f t="shared" si="26"/>
        <v>-0.50691567940213778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6">
        <v>32.33</v>
      </c>
      <c r="E56" s="2"/>
      <c r="F56" s="7">
        <f t="shared" si="19"/>
        <v>2.544871163634271E-4</v>
      </c>
      <c r="G56" s="2"/>
      <c r="H56" s="6">
        <v>21.98</v>
      </c>
      <c r="I56" s="2"/>
      <c r="J56" s="7">
        <f t="shared" si="20"/>
        <v>1.2717199115003282E-4</v>
      </c>
      <c r="K56" s="2"/>
      <c r="L56" s="6">
        <f t="shared" si="21"/>
        <v>10.349999999999998</v>
      </c>
      <c r="M56" s="2"/>
      <c r="N56" s="7">
        <f t="shared" si="22"/>
        <v>0.47088262056414915</v>
      </c>
      <c r="O56" s="11"/>
      <c r="P56" s="6">
        <v>107.16</v>
      </c>
      <c r="Q56" s="2"/>
      <c r="R56" s="7">
        <f t="shared" si="23"/>
        <v>1.4469745599700537E-4</v>
      </c>
      <c r="S56" s="2"/>
      <c r="T56" s="6">
        <v>80.599999999999994</v>
      </c>
      <c r="U56" s="2"/>
      <c r="V56" s="7">
        <f t="shared" si="24"/>
        <v>7.0943114685979072E-5</v>
      </c>
      <c r="W56" s="2"/>
      <c r="X56" s="6">
        <f t="shared" si="25"/>
        <v>26.560000000000002</v>
      </c>
      <c r="Y56" s="2"/>
      <c r="Z56" s="7">
        <f t="shared" si="26"/>
        <v>0.32952853598014892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6">
        <v>148.88</v>
      </c>
      <c r="E57" s="2"/>
      <c r="F57" s="7">
        <f t="shared" si="19"/>
        <v>1.171915925895052E-3</v>
      </c>
      <c r="G57" s="2"/>
      <c r="H57" s="6">
        <v>176.42</v>
      </c>
      <c r="I57" s="2"/>
      <c r="J57" s="7">
        <f t="shared" si="20"/>
        <v>1.0207316960276975E-3</v>
      </c>
      <c r="K57" s="2"/>
      <c r="L57" s="6">
        <f t="shared" si="21"/>
        <v>-27.539999999999992</v>
      </c>
      <c r="M57" s="2"/>
      <c r="N57" s="7">
        <f t="shared" si="22"/>
        <v>-0.15610475002834143</v>
      </c>
      <c r="O57" s="11"/>
      <c r="P57" s="6">
        <v>481.28</v>
      </c>
      <c r="Q57" s="2"/>
      <c r="R57" s="7">
        <f t="shared" si="23"/>
        <v>6.4986927605672584E-4</v>
      </c>
      <c r="S57" s="2"/>
      <c r="T57" s="6">
        <v>793.89</v>
      </c>
      <c r="U57" s="2"/>
      <c r="V57" s="7">
        <f t="shared" si="24"/>
        <v>6.9877207590635147E-4</v>
      </c>
      <c r="W57" s="2"/>
      <c r="X57" s="6">
        <f t="shared" si="25"/>
        <v>-312.61</v>
      </c>
      <c r="Y57" s="2"/>
      <c r="Z57" s="7">
        <f t="shared" si="26"/>
        <v>-0.39376991774679115</v>
      </c>
    </row>
    <row r="58" spans="1:26" s="24" customFormat="1" hidden="1" outlineLevel="2" x14ac:dyDescent="0.25">
      <c r="A58" s="29"/>
      <c r="B58" s="11" t="str">
        <f>CONCATENATE("          ", "6117", " - ", "RETIREMENT STAFF HOURLY")</f>
        <v xml:space="preserve">          6117 - RETIREMENT STAFF HOURLY</v>
      </c>
      <c r="C58" s="11"/>
      <c r="D58" s="6">
        <v>-940.04</v>
      </c>
      <c r="E58" s="2"/>
      <c r="F58" s="7">
        <f t="shared" si="19"/>
        <v>-7.3995690957709874E-3</v>
      </c>
      <c r="G58" s="2"/>
      <c r="H58" s="6">
        <v>155.75</v>
      </c>
      <c r="I58" s="2"/>
      <c r="J58" s="7">
        <f t="shared" si="20"/>
        <v>9.0113910926376765E-4</v>
      </c>
      <c r="K58" s="2"/>
      <c r="L58" s="6">
        <f t="shared" si="21"/>
        <v>-1095.79</v>
      </c>
      <c r="M58" s="2"/>
      <c r="N58" s="7">
        <f t="shared" si="22"/>
        <v>-7.0355698234349919</v>
      </c>
      <c r="O58" s="11"/>
      <c r="P58" s="6">
        <v>-657.34</v>
      </c>
      <c r="Q58" s="2"/>
      <c r="R58" s="7">
        <f t="shared" si="23"/>
        <v>-8.8760195712086153E-4</v>
      </c>
      <c r="S58" s="2"/>
      <c r="T58" s="6">
        <v>779.56</v>
      </c>
      <c r="U58" s="2"/>
      <c r="V58" s="7">
        <f t="shared" si="24"/>
        <v>6.8615898864270272E-4</v>
      </c>
      <c r="W58" s="2"/>
      <c r="X58" s="6">
        <f t="shared" si="25"/>
        <v>-1436.9</v>
      </c>
      <c r="Y58" s="2"/>
      <c r="Z58" s="7">
        <f t="shared" si="26"/>
        <v>-1.8432192518856794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6">
        <v>313.04000000000002</v>
      </c>
      <c r="E59" s="2"/>
      <c r="F59" s="7">
        <f t="shared" si="19"/>
        <v>2.4641090908260818E-3</v>
      </c>
      <c r="G59" s="2"/>
      <c r="H59" s="6">
        <v>386.7</v>
      </c>
      <c r="I59" s="2"/>
      <c r="J59" s="7">
        <f t="shared" si="20"/>
        <v>2.2373707451190943E-3</v>
      </c>
      <c r="K59" s="2"/>
      <c r="L59" s="6">
        <f t="shared" si="21"/>
        <v>-73.659999999999968</v>
      </c>
      <c r="M59" s="2"/>
      <c r="N59" s="7">
        <f t="shared" si="22"/>
        <v>-0.19048357900181012</v>
      </c>
      <c r="O59" s="11"/>
      <c r="P59" s="6">
        <v>565.6</v>
      </c>
      <c r="Q59" s="2"/>
      <c r="R59" s="7">
        <f t="shared" si="23"/>
        <v>7.6372602754671746E-4</v>
      </c>
      <c r="S59" s="2"/>
      <c r="T59" s="6">
        <v>1160.0999999999999</v>
      </c>
      <c r="U59" s="2"/>
      <c r="V59" s="7">
        <f t="shared" si="24"/>
        <v>1.0211055502134532E-3</v>
      </c>
      <c r="W59" s="2"/>
      <c r="X59" s="6">
        <f t="shared" si="25"/>
        <v>-594.49999999999989</v>
      </c>
      <c r="Y59" s="2"/>
      <c r="Z59" s="7">
        <f t="shared" si="26"/>
        <v>-0.51245582277389878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6">
        <v>311.87</v>
      </c>
      <c r="E60" s="2"/>
      <c r="F60" s="7">
        <f t="shared" si="19"/>
        <v>2.4548993807690074E-3</v>
      </c>
      <c r="G60" s="2"/>
      <c r="H60" s="6">
        <v>384.85</v>
      </c>
      <c r="I60" s="2"/>
      <c r="J60" s="7">
        <f t="shared" si="20"/>
        <v>2.2266670061005522E-3</v>
      </c>
      <c r="K60" s="2"/>
      <c r="L60" s="6">
        <f t="shared" si="21"/>
        <v>-72.980000000000018</v>
      </c>
      <c r="M60" s="2"/>
      <c r="N60" s="7">
        <f t="shared" si="22"/>
        <v>-0.1896323242821879</v>
      </c>
      <c r="O60" s="11"/>
      <c r="P60" s="6">
        <v>614.45000000000005</v>
      </c>
      <c r="Q60" s="2"/>
      <c r="R60" s="7">
        <f t="shared" si="23"/>
        <v>8.296878670899586E-4</v>
      </c>
      <c r="S60" s="2"/>
      <c r="T60" s="6">
        <v>1154.56</v>
      </c>
      <c r="U60" s="2"/>
      <c r="V60" s="7">
        <f t="shared" si="24"/>
        <v>1.0162293113132009E-3</v>
      </c>
      <c r="W60" s="2"/>
      <c r="X60" s="6">
        <f t="shared" si="25"/>
        <v>-540.1099999999999</v>
      </c>
      <c r="Y60" s="2"/>
      <c r="Z60" s="7">
        <f t="shared" si="26"/>
        <v>-0.46780591740576488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6">
        <v>277.39</v>
      </c>
      <c r="E61" s="2"/>
      <c r="F61" s="7">
        <f t="shared" si="19"/>
        <v>2.1834884382323245E-3</v>
      </c>
      <c r="G61" s="2"/>
      <c r="H61" s="6">
        <v>223.68</v>
      </c>
      <c r="I61" s="2"/>
      <c r="J61" s="7">
        <f t="shared" si="20"/>
        <v>1.2941688344148929E-3</v>
      </c>
      <c r="K61" s="2"/>
      <c r="L61" s="6">
        <f t="shared" si="21"/>
        <v>53.70999999999998</v>
      </c>
      <c r="M61" s="2"/>
      <c r="N61" s="7">
        <f t="shared" si="22"/>
        <v>0.24011981402002852</v>
      </c>
      <c r="O61" s="11"/>
      <c r="P61" s="6">
        <v>467.75</v>
      </c>
      <c r="Q61" s="2"/>
      <c r="R61" s="7">
        <f t="shared" si="23"/>
        <v>6.3159980442888456E-4</v>
      </c>
      <c r="S61" s="2"/>
      <c r="T61" s="6">
        <v>880.5</v>
      </c>
      <c r="U61" s="2"/>
      <c r="V61" s="7">
        <f t="shared" si="24"/>
        <v>7.7500511763032968E-4</v>
      </c>
      <c r="W61" s="2"/>
      <c r="X61" s="6">
        <f t="shared" si="25"/>
        <v>-412.75</v>
      </c>
      <c r="Y61" s="2"/>
      <c r="Z61" s="7">
        <f t="shared" si="26"/>
        <v>-0.4687677455990914</v>
      </c>
    </row>
    <row r="62" spans="1:26" s="28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12737.43</v>
      </c>
      <c r="E62" s="1"/>
      <c r="F62" s="5">
        <f t="shared" ref="F62:F67" si="27">IF(D$12=0,0,D62/D$12)</f>
        <v>0.10026327963442647</v>
      </c>
      <c r="G62" s="1"/>
      <c r="H62" s="1">
        <f>SUM(OSRRefH22_1x_0)</f>
        <v>8904.4</v>
      </c>
      <c r="I62" s="1"/>
      <c r="J62" s="5">
        <f t="shared" ref="J62:J67" si="28">IF(H$12=0,0,H62/H$12)</f>
        <v>5.151912092795051E-2</v>
      </c>
      <c r="K62" s="1"/>
      <c r="L62" s="1">
        <f t="shared" ref="L62:L67" si="29">+D62-H62</f>
        <v>3833.0300000000007</v>
      </c>
      <c r="M62" s="1"/>
      <c r="N62" s="5">
        <f t="shared" ref="N62:N67" si="30">IF(H62=0,0,L62/H62)</f>
        <v>0.43046471407394105</v>
      </c>
      <c r="O62" s="14"/>
      <c r="P62" s="1">
        <f>SUM(OSRRefP22_1x_0)</f>
        <v>42365.89</v>
      </c>
      <c r="Q62" s="1"/>
      <c r="R62" s="5">
        <f t="shared" ref="R62:R67" si="31">IF(P$12=0,0,P62/P$12)</f>
        <v>5.7206387682427869E-2</v>
      </c>
      <c r="S62" s="1"/>
      <c r="T62" s="1">
        <f>SUM(OSRRefT22_1x_0)</f>
        <v>32163.57</v>
      </c>
      <c r="U62" s="1"/>
      <c r="V62" s="5">
        <f t="shared" ref="V62:V67" si="32">IF(T$12=0,0,T62/T$12)</f>
        <v>2.8309973141693746E-2</v>
      </c>
      <c r="W62" s="1"/>
      <c r="X62" s="1">
        <f t="shared" ref="X62:X67" si="33">+P62-T62</f>
        <v>10202.32</v>
      </c>
      <c r="Y62" s="1"/>
      <c r="Z62" s="5">
        <f t="shared" ref="Z62:Z67" si="34">IF(T62=0,0,X62/T62)</f>
        <v>0.31720110671794205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6">
        <v>1634.62</v>
      </c>
      <c r="E63" s="2"/>
      <c r="F63" s="7">
        <f t="shared" si="27"/>
        <v>1.2866988250850146E-2</v>
      </c>
      <c r="G63" s="2"/>
      <c r="H63" s="6">
        <v>2395.9899999999998</v>
      </c>
      <c r="I63" s="2"/>
      <c r="J63" s="7">
        <f t="shared" si="28"/>
        <v>1.3862730622182308E-2</v>
      </c>
      <c r="K63" s="2"/>
      <c r="L63" s="6">
        <f t="shared" si="29"/>
        <v>-761.36999999999989</v>
      </c>
      <c r="M63" s="2"/>
      <c r="N63" s="7">
        <f t="shared" si="30"/>
        <v>-0.31776843809865651</v>
      </c>
      <c r="O63" s="11"/>
      <c r="P63" s="6">
        <v>9036.94</v>
      </c>
      <c r="Q63" s="2"/>
      <c r="R63" s="7">
        <f t="shared" si="31"/>
        <v>1.2202521724501474E-2</v>
      </c>
      <c r="S63" s="2"/>
      <c r="T63" s="6">
        <v>9357.43</v>
      </c>
      <c r="U63" s="2"/>
      <c r="V63" s="7">
        <f t="shared" si="32"/>
        <v>8.2362931719109321E-3</v>
      </c>
      <c r="W63" s="2"/>
      <c r="X63" s="6">
        <f t="shared" si="33"/>
        <v>-320.48999999999978</v>
      </c>
      <c r="Y63" s="2"/>
      <c r="Z63" s="7">
        <f t="shared" si="34"/>
        <v>-3.4249788670607184E-2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6">
        <v>5152.08</v>
      </c>
      <c r="E64" s="2"/>
      <c r="F64" s="7">
        <f t="shared" si="27"/>
        <v>4.0554840163120491E-2</v>
      </c>
      <c r="G64" s="2"/>
      <c r="H64" s="6">
        <v>3871.43</v>
      </c>
      <c r="I64" s="2"/>
      <c r="J64" s="7">
        <f t="shared" si="28"/>
        <v>2.2399338566786695E-2</v>
      </c>
      <c r="K64" s="2"/>
      <c r="L64" s="6">
        <f t="shared" si="29"/>
        <v>1280.6500000000001</v>
      </c>
      <c r="M64" s="2"/>
      <c r="N64" s="7">
        <f t="shared" si="30"/>
        <v>0.33079508088742404</v>
      </c>
      <c r="O64" s="11"/>
      <c r="P64" s="6">
        <v>10762.11</v>
      </c>
      <c r="Q64" s="2"/>
      <c r="R64" s="7">
        <f t="shared" si="31"/>
        <v>1.4532007634937772E-2</v>
      </c>
      <c r="S64" s="2"/>
      <c r="T64" s="6">
        <v>14420.64</v>
      </c>
      <c r="U64" s="2"/>
      <c r="V64" s="7">
        <f t="shared" si="32"/>
        <v>1.2692867461106913E-2</v>
      </c>
      <c r="W64" s="2"/>
      <c r="X64" s="6">
        <f t="shared" si="33"/>
        <v>-3658.5299999999988</v>
      </c>
      <c r="Y64" s="2"/>
      <c r="Z64" s="7">
        <f t="shared" si="34"/>
        <v>-0.25370094531171977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6">
        <v>2493.6</v>
      </c>
      <c r="E65" s="2"/>
      <c r="F65" s="7">
        <f t="shared" si="27"/>
        <v>1.9628489742154094E-2</v>
      </c>
      <c r="G65" s="2"/>
      <c r="H65" s="6"/>
      <c r="I65" s="2"/>
      <c r="J65" s="7">
        <f t="shared" si="28"/>
        <v>0</v>
      </c>
      <c r="K65" s="2"/>
      <c r="L65" s="6">
        <f t="shared" si="29"/>
        <v>2493.6</v>
      </c>
      <c r="M65" s="2"/>
      <c r="N65" s="7">
        <f t="shared" si="30"/>
        <v>0</v>
      </c>
      <c r="O65" s="11"/>
      <c r="P65" s="6">
        <v>3918.88</v>
      </c>
      <c r="Q65" s="2"/>
      <c r="R65" s="7">
        <f t="shared" si="31"/>
        <v>5.2916383571999298E-3</v>
      </c>
      <c r="S65" s="2"/>
      <c r="T65" s="6"/>
      <c r="U65" s="2"/>
      <c r="V65" s="7">
        <f t="shared" si="32"/>
        <v>0</v>
      </c>
      <c r="W65" s="2"/>
      <c r="X65" s="6">
        <f t="shared" si="33"/>
        <v>3918.88</v>
      </c>
      <c r="Y65" s="2"/>
      <c r="Z65" s="7">
        <f t="shared" si="34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6">
        <v>1733.5</v>
      </c>
      <c r="E66" s="2"/>
      <c r="F66" s="7">
        <f t="shared" si="27"/>
        <v>1.3645326823878779E-2</v>
      </c>
      <c r="G66" s="2"/>
      <c r="H66" s="6">
        <v>2636.98</v>
      </c>
      <c r="I66" s="2"/>
      <c r="J66" s="7">
        <f t="shared" si="28"/>
        <v>1.5257051738981509E-2</v>
      </c>
      <c r="K66" s="2"/>
      <c r="L66" s="6">
        <f t="shared" si="29"/>
        <v>-903.48</v>
      </c>
      <c r="M66" s="2"/>
      <c r="N66" s="7">
        <f t="shared" si="30"/>
        <v>-0.34261920833680953</v>
      </c>
      <c r="O66" s="11"/>
      <c r="P66" s="6">
        <v>14630.26</v>
      </c>
      <c r="Q66" s="2"/>
      <c r="R66" s="7">
        <f t="shared" si="31"/>
        <v>1.9755145600734863E-2</v>
      </c>
      <c r="S66" s="2"/>
      <c r="T66" s="6">
        <v>8385.5</v>
      </c>
      <c r="U66" s="2"/>
      <c r="V66" s="7">
        <f t="shared" si="32"/>
        <v>7.3808125086758996E-3</v>
      </c>
      <c r="W66" s="2"/>
      <c r="X66" s="6">
        <f t="shared" si="33"/>
        <v>6244.76</v>
      </c>
      <c r="Y66" s="2"/>
      <c r="Z66" s="7">
        <f t="shared" si="34"/>
        <v>0.74470931965893505</v>
      </c>
    </row>
    <row r="67" spans="1:26" s="24" customFormat="1" hidden="1" outlineLevel="2" x14ac:dyDescent="0.25">
      <c r="A67" s="29"/>
      <c r="B67" s="11" t="str">
        <f>CONCATENATE("          ", "6008", " - ", "STUDENT HOURLY-FICA EXEMPT")</f>
        <v xml:space="preserve">          6008 - STUDENT HOURLY-FICA EXEMPT</v>
      </c>
      <c r="C67" s="11"/>
      <c r="D67" s="6">
        <v>1723.63</v>
      </c>
      <c r="E67" s="2"/>
      <c r="F67" s="7">
        <f t="shared" si="27"/>
        <v>1.3567634654422948E-2</v>
      </c>
      <c r="G67" s="2"/>
      <c r="H67" s="6"/>
      <c r="I67" s="2"/>
      <c r="J67" s="7">
        <f t="shared" si="28"/>
        <v>0</v>
      </c>
      <c r="K67" s="2"/>
      <c r="L67" s="6">
        <f t="shared" si="29"/>
        <v>1723.63</v>
      </c>
      <c r="M67" s="2"/>
      <c r="N67" s="7">
        <f t="shared" si="30"/>
        <v>0</v>
      </c>
      <c r="O67" s="11"/>
      <c r="P67" s="6">
        <v>4017.7</v>
      </c>
      <c r="Q67" s="2"/>
      <c r="R67" s="7">
        <f t="shared" si="31"/>
        <v>5.4250743650538303E-3</v>
      </c>
      <c r="S67" s="2"/>
      <c r="T67" s="6"/>
      <c r="U67" s="2"/>
      <c r="V67" s="7">
        <f t="shared" si="32"/>
        <v>0</v>
      </c>
      <c r="W67" s="2"/>
      <c r="X67" s="6">
        <f t="shared" si="33"/>
        <v>4017.7</v>
      </c>
      <c r="Y67" s="2"/>
      <c r="Z67" s="7">
        <f t="shared" si="34"/>
        <v>0</v>
      </c>
    </row>
    <row r="68" spans="1:26" s="28" customFormat="1" outlineLevel="1" collapsed="1" x14ac:dyDescent="0.25">
      <c r="A68" s="27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6.62</v>
      </c>
      <c r="E68" s="1"/>
      <c r="F68" s="5">
        <f t="shared" ref="F68:F76" si="35">IF(D$12=0,0,D68/D$12)</f>
        <v>5.2109641519513996E-5</v>
      </c>
      <c r="G68" s="1"/>
      <c r="H68" s="1">
        <f>SUM(OSRRefH22_2x_0)</f>
        <v>0</v>
      </c>
      <c r="I68" s="1"/>
      <c r="J68" s="5">
        <f t="shared" ref="J68:J76" si="36">IF(H$12=0,0,H68/H$12)</f>
        <v>0</v>
      </c>
      <c r="K68" s="1"/>
      <c r="L68" s="1">
        <f t="shared" ref="L68:L76" si="37">+D68-H68</f>
        <v>6.62</v>
      </c>
      <c r="M68" s="1"/>
      <c r="N68" s="5">
        <f t="shared" ref="N68:N76" si="38">IF(H68=0,0,L68/H68)</f>
        <v>0</v>
      </c>
      <c r="O68" s="14"/>
      <c r="P68" s="1">
        <f>SUM(OSRRefP22_2x_0)</f>
        <v>111.51</v>
      </c>
      <c r="Q68" s="1"/>
      <c r="R68" s="5">
        <f t="shared" ref="R68:R76" si="39">IF(P$12=0,0,P68/P$12)</f>
        <v>1.5057123290617834E-4</v>
      </c>
      <c r="S68" s="1"/>
      <c r="T68" s="1">
        <f>SUM(OSRRefT22_2x_0)</f>
        <v>248.88</v>
      </c>
      <c r="U68" s="1"/>
      <c r="V68" s="5">
        <f t="shared" ref="V68:V76" si="40">IF(T$12=0,0,T68/T$12)</f>
        <v>2.1906107174995623E-4</v>
      </c>
      <c r="W68" s="1"/>
      <c r="X68" s="1">
        <f t="shared" ref="X68:X76" si="41">+P68-T68</f>
        <v>-137.37</v>
      </c>
      <c r="Y68" s="1"/>
      <c r="Z68" s="5">
        <f t="shared" ref="Z68:Z76" si="42">IF(T68=0,0,X68/T68)</f>
        <v>-0.55195274831243979</v>
      </c>
    </row>
    <row r="69" spans="1:26" s="24" customFormat="1" hidden="1" outlineLevel="2" x14ac:dyDescent="0.25">
      <c r="A69" s="29"/>
      <c r="B69" s="11" t="str">
        <f>CONCATENATE("          ", "6362", " - ", "ADVERTISING EXPENSE")</f>
        <v xml:space="preserve">          6362 - ADVERTISING EXPENSE</v>
      </c>
      <c r="C69" s="11"/>
      <c r="D69" s="6">
        <v>6.62</v>
      </c>
      <c r="E69" s="2"/>
      <c r="F69" s="7">
        <f t="shared" si="35"/>
        <v>5.2109641519513996E-5</v>
      </c>
      <c r="G69" s="2"/>
      <c r="H69" s="6"/>
      <c r="I69" s="2"/>
      <c r="J69" s="7">
        <f t="shared" si="36"/>
        <v>0</v>
      </c>
      <c r="K69" s="2"/>
      <c r="L69" s="6">
        <f t="shared" si="37"/>
        <v>6.62</v>
      </c>
      <c r="M69" s="2"/>
      <c r="N69" s="7">
        <f t="shared" si="38"/>
        <v>0</v>
      </c>
      <c r="O69" s="11"/>
      <c r="P69" s="6">
        <v>111.51</v>
      </c>
      <c r="Q69" s="2"/>
      <c r="R69" s="7">
        <f t="shared" si="39"/>
        <v>1.5057123290617834E-4</v>
      </c>
      <c r="S69" s="2"/>
      <c r="T69" s="6">
        <v>248.88</v>
      </c>
      <c r="U69" s="2"/>
      <c r="V69" s="7">
        <f t="shared" si="40"/>
        <v>2.1906107174995623E-4</v>
      </c>
      <c r="W69" s="2"/>
      <c r="X69" s="6">
        <f t="shared" si="41"/>
        <v>-137.37</v>
      </c>
      <c r="Y69" s="2"/>
      <c r="Z69" s="7">
        <f t="shared" si="42"/>
        <v>-0.55195274831243979</v>
      </c>
    </row>
    <row r="70" spans="1:26" s="28" customFormat="1" outlineLevel="1" collapsed="1" x14ac:dyDescent="0.25">
      <c r="A70" s="27"/>
      <c r="B70" s="14" t="str">
        <f>CONCATENATE("     ","Depreciation                                      ")</f>
        <v xml:space="preserve">     Depreciation                                      </v>
      </c>
      <c r="C70" s="14"/>
      <c r="D70" s="1">
        <f>SUM(OSRRefD22_3x_0)</f>
        <v>280.44</v>
      </c>
      <c r="E70" s="1"/>
      <c r="F70" s="5">
        <f t="shared" si="35"/>
        <v>2.2074966567571762E-3</v>
      </c>
      <c r="G70" s="1"/>
      <c r="H70" s="1">
        <f>SUM(OSRRefH22_3x_0)</f>
        <v>280.44</v>
      </c>
      <c r="I70" s="1"/>
      <c r="J70" s="5">
        <f t="shared" si="36"/>
        <v>1.6225711191135217E-3</v>
      </c>
      <c r="K70" s="1"/>
      <c r="L70" s="1">
        <f t="shared" si="37"/>
        <v>0</v>
      </c>
      <c r="M70" s="1"/>
      <c r="N70" s="5">
        <f t="shared" si="38"/>
        <v>0</v>
      </c>
      <c r="O70" s="14"/>
      <c r="P70" s="1">
        <f>SUM(OSRRefP22_3x_0)</f>
        <v>1121.76</v>
      </c>
      <c r="Q70" s="1"/>
      <c r="R70" s="5">
        <f t="shared" si="39"/>
        <v>1.5147052840537585E-3</v>
      </c>
      <c r="S70" s="1"/>
      <c r="T70" s="1">
        <f>SUM(OSRRefT22_3x_0)</f>
        <v>1121.76</v>
      </c>
      <c r="U70" s="1"/>
      <c r="V70" s="5">
        <f t="shared" si="40"/>
        <v>9.8735916042362137E-4</v>
      </c>
      <c r="W70" s="1"/>
      <c r="X70" s="1">
        <f t="shared" si="41"/>
        <v>0</v>
      </c>
      <c r="Y70" s="1"/>
      <c r="Z70" s="5">
        <f t="shared" si="42"/>
        <v>0</v>
      </c>
    </row>
    <row r="71" spans="1:26" s="24" customFormat="1" hidden="1" outlineLevel="2" x14ac:dyDescent="0.25">
      <c r="A71" s="29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280.44</v>
      </c>
      <c r="E71" s="2"/>
      <c r="F71" s="7">
        <f t="shared" si="35"/>
        <v>2.2074966567571762E-3</v>
      </c>
      <c r="G71" s="2"/>
      <c r="H71" s="6">
        <v>280.44</v>
      </c>
      <c r="I71" s="2"/>
      <c r="J71" s="7">
        <f t="shared" si="36"/>
        <v>1.6225711191135217E-3</v>
      </c>
      <c r="K71" s="2"/>
      <c r="L71" s="6">
        <f t="shared" si="37"/>
        <v>0</v>
      </c>
      <c r="M71" s="2"/>
      <c r="N71" s="7">
        <f t="shared" si="38"/>
        <v>0</v>
      </c>
      <c r="O71" s="11"/>
      <c r="P71" s="6">
        <v>1121.76</v>
      </c>
      <c r="Q71" s="2"/>
      <c r="R71" s="7">
        <f t="shared" si="39"/>
        <v>1.5147052840537585E-3</v>
      </c>
      <c r="S71" s="2"/>
      <c r="T71" s="6">
        <v>1121.76</v>
      </c>
      <c r="U71" s="2"/>
      <c r="V71" s="7">
        <f t="shared" si="40"/>
        <v>9.8735916042362137E-4</v>
      </c>
      <c r="W71" s="2"/>
      <c r="X71" s="6">
        <f t="shared" si="41"/>
        <v>0</v>
      </c>
      <c r="Y71" s="2"/>
      <c r="Z71" s="7">
        <f t="shared" si="42"/>
        <v>0</v>
      </c>
    </row>
    <row r="72" spans="1:26" s="28" customFormat="1" outlineLevel="1" collapsed="1" x14ac:dyDescent="0.25">
      <c r="A72" s="27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SUM(OSRRefD22_4x_0)</f>
        <v>0</v>
      </c>
      <c r="E72" s="1"/>
      <c r="F72" s="5">
        <f t="shared" si="35"/>
        <v>0</v>
      </c>
      <c r="G72" s="1"/>
      <c r="H72" s="1">
        <f>SUM(OSRRefH22_4x_0)</f>
        <v>0</v>
      </c>
      <c r="I72" s="1"/>
      <c r="J72" s="5">
        <f t="shared" si="36"/>
        <v>0</v>
      </c>
      <c r="K72" s="1"/>
      <c r="L72" s="1">
        <f t="shared" si="37"/>
        <v>0</v>
      </c>
      <c r="M72" s="1"/>
      <c r="N72" s="5">
        <f t="shared" si="38"/>
        <v>0</v>
      </c>
      <c r="O72" s="14"/>
      <c r="P72" s="1">
        <f>SUM(OSRRefP22_4x_0)</f>
        <v>0</v>
      </c>
      <c r="Q72" s="1"/>
      <c r="R72" s="5">
        <f t="shared" si="39"/>
        <v>0</v>
      </c>
      <c r="S72" s="1"/>
      <c r="T72" s="1">
        <f>SUM(OSRRefT22_4x_0)</f>
        <v>0</v>
      </c>
      <c r="U72" s="1"/>
      <c r="V72" s="5">
        <f t="shared" si="40"/>
        <v>0</v>
      </c>
      <c r="W72" s="1"/>
      <c r="X72" s="1">
        <f t="shared" si="41"/>
        <v>0</v>
      </c>
      <c r="Y72" s="1"/>
      <c r="Z72" s="5">
        <f t="shared" si="42"/>
        <v>0</v>
      </c>
    </row>
    <row r="73" spans="1:26" s="24" customFormat="1" hidden="1" outlineLevel="2" x14ac:dyDescent="0.25">
      <c r="A73" s="29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35"/>
        <v>0</v>
      </c>
      <c r="G73" s="2"/>
      <c r="H73" s="6">
        <v>0</v>
      </c>
      <c r="I73" s="2"/>
      <c r="J73" s="7">
        <f t="shared" si="36"/>
        <v>0</v>
      </c>
      <c r="K73" s="2"/>
      <c r="L73" s="6">
        <f t="shared" si="37"/>
        <v>0</v>
      </c>
      <c r="M73" s="2"/>
      <c r="N73" s="7">
        <f t="shared" si="38"/>
        <v>0</v>
      </c>
      <c r="O73" s="11"/>
      <c r="P73" s="6"/>
      <c r="Q73" s="2"/>
      <c r="R73" s="7">
        <f t="shared" si="39"/>
        <v>0</v>
      </c>
      <c r="S73" s="2"/>
      <c r="T73" s="6">
        <v>0</v>
      </c>
      <c r="U73" s="2"/>
      <c r="V73" s="7">
        <f t="shared" si="40"/>
        <v>0</v>
      </c>
      <c r="W73" s="2"/>
      <c r="X73" s="6">
        <f t="shared" si="41"/>
        <v>0</v>
      </c>
      <c r="Y73" s="2"/>
      <c r="Z73" s="7">
        <f t="shared" si="42"/>
        <v>0</v>
      </c>
    </row>
    <row r="74" spans="1:26" s="28" customFormat="1" outlineLevel="1" collapsed="1" x14ac:dyDescent="0.25">
      <c r="A74" s="27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SUM(OSRRefD22_5x_0)</f>
        <v>5.42</v>
      </c>
      <c r="E74" s="1"/>
      <c r="F74" s="5">
        <f t="shared" si="35"/>
        <v>4.2663785050719922E-5</v>
      </c>
      <c r="G74" s="1"/>
      <c r="H74" s="1">
        <f>SUM(OSRRefH22_5x_0)</f>
        <v>273.20999999999998</v>
      </c>
      <c r="I74" s="1"/>
      <c r="J74" s="5">
        <f t="shared" si="36"/>
        <v>1.5807397498680831E-3</v>
      </c>
      <c r="K74" s="1"/>
      <c r="L74" s="1">
        <f t="shared" si="37"/>
        <v>-267.78999999999996</v>
      </c>
      <c r="M74" s="1"/>
      <c r="N74" s="5">
        <f t="shared" si="38"/>
        <v>-0.98016178031550816</v>
      </c>
      <c r="O74" s="14"/>
      <c r="P74" s="1">
        <f>SUM(OSRRefP22_5x_0)</f>
        <v>121.79</v>
      </c>
      <c r="Q74" s="1"/>
      <c r="R74" s="5">
        <f t="shared" si="39"/>
        <v>1.6445225052141925E-4</v>
      </c>
      <c r="S74" s="1"/>
      <c r="T74" s="1">
        <f>SUM(OSRRefT22_5x_0)</f>
        <v>550.47</v>
      </c>
      <c r="U74" s="1"/>
      <c r="V74" s="5">
        <f t="shared" si="40"/>
        <v>4.8451682805447768E-4</v>
      </c>
      <c r="W74" s="1"/>
      <c r="X74" s="1">
        <f t="shared" si="41"/>
        <v>-428.68</v>
      </c>
      <c r="Y74" s="1"/>
      <c r="Z74" s="5">
        <f t="shared" si="42"/>
        <v>-0.7787527022362708</v>
      </c>
    </row>
    <row r="75" spans="1:26" s="24" customFormat="1" hidden="1" outlineLevel="2" x14ac:dyDescent="0.25">
      <c r="A75" s="29"/>
      <c r="B75" s="11" t="str">
        <f>CONCATENATE("          ", "6305", " - ", "FREIGHT OUT")</f>
        <v xml:space="preserve">          6305 - FREIGHT OUT</v>
      </c>
      <c r="C75" s="11"/>
      <c r="D75" s="6">
        <v>5.42</v>
      </c>
      <c r="E75" s="2"/>
      <c r="F75" s="7">
        <f t="shared" si="35"/>
        <v>4.2663785050719922E-5</v>
      </c>
      <c r="G75" s="2"/>
      <c r="H75" s="6">
        <v>273.20999999999998</v>
      </c>
      <c r="I75" s="2"/>
      <c r="J75" s="7">
        <f t="shared" si="36"/>
        <v>1.5807397498680831E-3</v>
      </c>
      <c r="K75" s="2"/>
      <c r="L75" s="6">
        <f t="shared" si="37"/>
        <v>-267.78999999999996</v>
      </c>
      <c r="M75" s="2"/>
      <c r="N75" s="7">
        <f t="shared" si="38"/>
        <v>-0.98016178031550816</v>
      </c>
      <c r="O75" s="11"/>
      <c r="P75" s="6">
        <v>121.79</v>
      </c>
      <c r="Q75" s="2"/>
      <c r="R75" s="7">
        <f t="shared" si="39"/>
        <v>1.6445225052141925E-4</v>
      </c>
      <c r="S75" s="2"/>
      <c r="T75" s="6">
        <v>537.87</v>
      </c>
      <c r="U75" s="2"/>
      <c r="V75" s="7">
        <f t="shared" si="40"/>
        <v>4.7342646521274896E-4</v>
      </c>
      <c r="W75" s="2"/>
      <c r="X75" s="6">
        <f t="shared" si="41"/>
        <v>-416.08</v>
      </c>
      <c r="Y75" s="2"/>
      <c r="Z75" s="7">
        <f t="shared" si="42"/>
        <v>-0.77356982170412925</v>
      </c>
    </row>
    <row r="76" spans="1:26" s="24" customFormat="1" hidden="1" outlineLevel="2" x14ac:dyDescent="0.25">
      <c r="A76" s="29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35"/>
        <v>0</v>
      </c>
      <c r="G76" s="2"/>
      <c r="H76" s="6"/>
      <c r="I76" s="2"/>
      <c r="J76" s="7">
        <f t="shared" si="36"/>
        <v>0</v>
      </c>
      <c r="K76" s="2"/>
      <c r="L76" s="6">
        <f t="shared" si="37"/>
        <v>0</v>
      </c>
      <c r="M76" s="2"/>
      <c r="N76" s="7">
        <f t="shared" si="38"/>
        <v>0</v>
      </c>
      <c r="O76" s="11"/>
      <c r="P76" s="6"/>
      <c r="Q76" s="2"/>
      <c r="R76" s="7">
        <f t="shared" si="39"/>
        <v>0</v>
      </c>
      <c r="S76" s="2"/>
      <c r="T76" s="6">
        <v>12.6</v>
      </c>
      <c r="U76" s="2"/>
      <c r="V76" s="7">
        <f t="shared" si="40"/>
        <v>1.1090362841728738E-5</v>
      </c>
      <c r="W76" s="2"/>
      <c r="X76" s="6">
        <f t="shared" si="41"/>
        <v>-12.6</v>
      </c>
      <c r="Y76" s="2"/>
      <c r="Z76" s="7">
        <f t="shared" si="42"/>
        <v>-1</v>
      </c>
    </row>
    <row r="77" spans="1:26" s="28" customFormat="1" outlineLevel="1" collapsed="1" x14ac:dyDescent="0.25">
      <c r="A77" s="27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SUM(OSRRefD22_6x_0)</f>
        <v>0</v>
      </c>
      <c r="E77" s="1"/>
      <c r="F77" s="5">
        <f t="shared" ref="F77:F84" si="43">IF(D$12=0,0,D77/D$12)</f>
        <v>0</v>
      </c>
      <c r="G77" s="1"/>
      <c r="H77" s="1">
        <f>SUM(OSRRefH22_6x_0)</f>
        <v>0</v>
      </c>
      <c r="I77" s="1"/>
      <c r="J77" s="5">
        <f t="shared" ref="J77:J84" si="44">IF(H$12=0,0,H77/H$12)</f>
        <v>0</v>
      </c>
      <c r="K77" s="1"/>
      <c r="L77" s="1">
        <f t="shared" ref="L77:L84" si="45">+D77-H77</f>
        <v>0</v>
      </c>
      <c r="M77" s="1"/>
      <c r="N77" s="5">
        <f t="shared" ref="N77:N84" si="46">IF(H77=0,0,L77/H77)</f>
        <v>0</v>
      </c>
      <c r="O77" s="14"/>
      <c r="P77" s="1">
        <f>SUM(OSRRefP22_6x_0)</f>
        <v>0</v>
      </c>
      <c r="Q77" s="1"/>
      <c r="R77" s="5">
        <f t="shared" ref="R77:R84" si="47">IF(P$12=0,0,P77/P$12)</f>
        <v>0</v>
      </c>
      <c r="S77" s="1"/>
      <c r="T77" s="1">
        <f>SUM(OSRRefT22_6x_0)</f>
        <v>-30.15</v>
      </c>
      <c r="U77" s="1"/>
      <c r="V77" s="5">
        <f t="shared" ref="V77:V84" si="48">IF(T$12=0,0,T77/T$12)</f>
        <v>-2.6537653942708053E-5</v>
      </c>
      <c r="W77" s="1"/>
      <c r="X77" s="1">
        <f t="shared" ref="X77:X84" si="49">+P77-T77</f>
        <v>30.15</v>
      </c>
      <c r="Y77" s="1"/>
      <c r="Z77" s="5">
        <f t="shared" ref="Z77:Z84" si="50">IF(T77=0,0,X77/T77)</f>
        <v>-1</v>
      </c>
    </row>
    <row r="78" spans="1:26" s="24" customFormat="1" hidden="1" outlineLevel="2" x14ac:dyDescent="0.25">
      <c r="A78" s="29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43"/>
        <v>0</v>
      </c>
      <c r="G78" s="2"/>
      <c r="H78" s="6"/>
      <c r="I78" s="2"/>
      <c r="J78" s="7">
        <f t="shared" si="44"/>
        <v>0</v>
      </c>
      <c r="K78" s="2"/>
      <c r="L78" s="6">
        <f t="shared" si="45"/>
        <v>0</v>
      </c>
      <c r="M78" s="2"/>
      <c r="N78" s="7">
        <f t="shared" si="46"/>
        <v>0</v>
      </c>
      <c r="O78" s="11"/>
      <c r="P78" s="6"/>
      <c r="Q78" s="2"/>
      <c r="R78" s="7">
        <f t="shared" si="47"/>
        <v>0</v>
      </c>
      <c r="S78" s="2"/>
      <c r="T78" s="6">
        <v>-30.15</v>
      </c>
      <c r="U78" s="2"/>
      <c r="V78" s="7">
        <f t="shared" si="48"/>
        <v>-2.6537653942708053E-5</v>
      </c>
      <c r="W78" s="2"/>
      <c r="X78" s="6">
        <f t="shared" si="49"/>
        <v>30.15</v>
      </c>
      <c r="Y78" s="2"/>
      <c r="Z78" s="7">
        <f t="shared" si="50"/>
        <v>-1</v>
      </c>
    </row>
    <row r="79" spans="1:26" s="28" customFormat="1" outlineLevel="1" collapsed="1" x14ac:dyDescent="0.25">
      <c r="A79" s="27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SUM(OSRRefD22_7x_0)</f>
        <v>590</v>
      </c>
      <c r="E79" s="1"/>
      <c r="F79" s="5">
        <f t="shared" si="43"/>
        <v>4.6442127638237551E-3</v>
      </c>
      <c r="G79" s="1"/>
      <c r="H79" s="1">
        <f>SUM(OSRRefH22_7x_0)</f>
        <v>1250</v>
      </c>
      <c r="I79" s="1"/>
      <c r="J79" s="5">
        <f t="shared" si="44"/>
        <v>7.2322560936096923E-3</v>
      </c>
      <c r="K79" s="1"/>
      <c r="L79" s="1">
        <f t="shared" si="45"/>
        <v>-660</v>
      </c>
      <c r="M79" s="1"/>
      <c r="N79" s="5">
        <f t="shared" si="46"/>
        <v>-0.52800000000000002</v>
      </c>
      <c r="O79" s="14"/>
      <c r="P79" s="1">
        <f>SUM(OSRRefP22_7x_0)</f>
        <v>4670</v>
      </c>
      <c r="Q79" s="1"/>
      <c r="R79" s="5">
        <f t="shared" si="47"/>
        <v>6.3058708427213058E-3</v>
      </c>
      <c r="S79" s="1"/>
      <c r="T79" s="1">
        <f>SUM(OSRRefT22_7x_0)</f>
        <v>5000</v>
      </c>
      <c r="U79" s="1"/>
      <c r="V79" s="5">
        <f t="shared" si="48"/>
        <v>4.4009376356066426E-3</v>
      </c>
      <c r="W79" s="1"/>
      <c r="X79" s="1">
        <f t="shared" si="49"/>
        <v>-330</v>
      </c>
      <c r="Y79" s="1"/>
      <c r="Z79" s="5">
        <f t="shared" si="50"/>
        <v>-6.6000000000000003E-2</v>
      </c>
    </row>
    <row r="80" spans="1:26" s="24" customFormat="1" hidden="1" outlineLevel="2" x14ac:dyDescent="0.25">
      <c r="A80" s="29"/>
      <c r="B80" s="11" t="str">
        <f>CONCATENATE("          ", "6408", " - ", "INVENTORY ADJUSTMENT")</f>
        <v xml:space="preserve">          6408 - INVENTORY ADJUSTMENT</v>
      </c>
      <c r="C80" s="11"/>
      <c r="D80" s="6">
        <v>590</v>
      </c>
      <c r="E80" s="2"/>
      <c r="F80" s="7">
        <f t="shared" si="43"/>
        <v>4.6442127638237551E-3</v>
      </c>
      <c r="G80" s="2"/>
      <c r="H80" s="6">
        <v>1250</v>
      </c>
      <c r="I80" s="2"/>
      <c r="J80" s="7">
        <f t="shared" si="44"/>
        <v>7.2322560936096923E-3</v>
      </c>
      <c r="K80" s="2"/>
      <c r="L80" s="6">
        <f t="shared" si="45"/>
        <v>-660</v>
      </c>
      <c r="M80" s="2"/>
      <c r="N80" s="7">
        <f t="shared" si="46"/>
        <v>-0.52800000000000002</v>
      </c>
      <c r="O80" s="11"/>
      <c r="P80" s="6">
        <v>4670</v>
      </c>
      <c r="Q80" s="2"/>
      <c r="R80" s="7">
        <f t="shared" si="47"/>
        <v>6.3058708427213058E-3</v>
      </c>
      <c r="S80" s="2"/>
      <c r="T80" s="6">
        <v>5000</v>
      </c>
      <c r="U80" s="2"/>
      <c r="V80" s="7">
        <f t="shared" si="48"/>
        <v>4.4009376356066426E-3</v>
      </c>
      <c r="W80" s="2"/>
      <c r="X80" s="6">
        <f t="shared" si="49"/>
        <v>-330</v>
      </c>
      <c r="Y80" s="2"/>
      <c r="Z80" s="7">
        <f t="shared" si="50"/>
        <v>-6.6000000000000003E-2</v>
      </c>
    </row>
    <row r="81" spans="1:26" s="28" customFormat="1" outlineLevel="1" collapsed="1" x14ac:dyDescent="0.25">
      <c r="A81" s="27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SUM(OSRRefD22_8x_0)</f>
        <v>159.5</v>
      </c>
      <c r="E81" s="1"/>
      <c r="F81" s="5">
        <f t="shared" si="43"/>
        <v>1.2555117556438795E-3</v>
      </c>
      <c r="G81" s="1"/>
      <c r="H81" s="1">
        <f>SUM(OSRRefH22_8x_0)</f>
        <v>29.59</v>
      </c>
      <c r="I81" s="1"/>
      <c r="J81" s="5">
        <f t="shared" si="44"/>
        <v>1.7120196624792862E-4</v>
      </c>
      <c r="K81" s="1"/>
      <c r="L81" s="1">
        <f t="shared" si="45"/>
        <v>129.91</v>
      </c>
      <c r="M81" s="1"/>
      <c r="N81" s="5">
        <f t="shared" si="46"/>
        <v>4.3903345724907066</v>
      </c>
      <c r="O81" s="14"/>
      <c r="P81" s="1">
        <f>SUM(OSRRefP22_8x_0)</f>
        <v>3218.69</v>
      </c>
      <c r="Q81" s="1"/>
      <c r="R81" s="5">
        <f t="shared" si="47"/>
        <v>4.3461763217898589E-3</v>
      </c>
      <c r="S81" s="1"/>
      <c r="T81" s="1">
        <f>SUM(OSRRefT22_8x_0)</f>
        <v>1524.5</v>
      </c>
      <c r="U81" s="1"/>
      <c r="V81" s="5">
        <f t="shared" si="48"/>
        <v>1.3418458850964652E-3</v>
      </c>
      <c r="W81" s="1"/>
      <c r="X81" s="1">
        <f t="shared" si="49"/>
        <v>1694.19</v>
      </c>
      <c r="Y81" s="1"/>
      <c r="Z81" s="5">
        <f t="shared" si="50"/>
        <v>1.111308625778944</v>
      </c>
    </row>
    <row r="82" spans="1:26" s="24" customFormat="1" hidden="1" outlineLevel="2" x14ac:dyDescent="0.25">
      <c r="A82" s="29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43"/>
        <v>0</v>
      </c>
      <c r="G82" s="2"/>
      <c r="H82" s="6"/>
      <c r="I82" s="2"/>
      <c r="J82" s="7">
        <f t="shared" si="44"/>
        <v>0</v>
      </c>
      <c r="K82" s="2"/>
      <c r="L82" s="6">
        <f t="shared" si="45"/>
        <v>0</v>
      </c>
      <c r="M82" s="2"/>
      <c r="N82" s="7">
        <f t="shared" si="46"/>
        <v>0</v>
      </c>
      <c r="O82" s="11"/>
      <c r="P82" s="6"/>
      <c r="Q82" s="2"/>
      <c r="R82" s="7">
        <f t="shared" si="47"/>
        <v>0</v>
      </c>
      <c r="S82" s="2"/>
      <c r="T82" s="6">
        <v>668.12</v>
      </c>
      <c r="U82" s="2"/>
      <c r="V82" s="7">
        <f t="shared" si="48"/>
        <v>5.8807089062030201E-4</v>
      </c>
      <c r="W82" s="2"/>
      <c r="X82" s="6">
        <f t="shared" si="49"/>
        <v>-668.12</v>
      </c>
      <c r="Y82" s="2"/>
      <c r="Z82" s="7">
        <f t="shared" si="50"/>
        <v>-1</v>
      </c>
    </row>
    <row r="83" spans="1:26" s="24" customFormat="1" hidden="1" outlineLevel="2" x14ac:dyDescent="0.25">
      <c r="A83" s="29"/>
      <c r="B83" s="11" t="str">
        <f>CONCATENATE("          ", "6241", " - ", "OFFICE EXPENSE")</f>
        <v xml:space="preserve">          6241 - OFFICE EXPENSE</v>
      </c>
      <c r="C83" s="11"/>
      <c r="D83" s="6">
        <v>159.5</v>
      </c>
      <c r="E83" s="2"/>
      <c r="F83" s="7">
        <f t="shared" si="43"/>
        <v>1.2555117556438795E-3</v>
      </c>
      <c r="G83" s="2"/>
      <c r="H83" s="6">
        <v>29.59</v>
      </c>
      <c r="I83" s="2"/>
      <c r="J83" s="7">
        <f t="shared" si="44"/>
        <v>1.7120196624792862E-4</v>
      </c>
      <c r="K83" s="2"/>
      <c r="L83" s="6">
        <f t="shared" si="45"/>
        <v>129.91</v>
      </c>
      <c r="M83" s="2"/>
      <c r="N83" s="7">
        <f t="shared" si="46"/>
        <v>4.3903345724907066</v>
      </c>
      <c r="O83" s="11"/>
      <c r="P83" s="6">
        <v>306.69</v>
      </c>
      <c r="Q83" s="2"/>
      <c r="R83" s="7">
        <f t="shared" si="47"/>
        <v>4.141215264998281E-4</v>
      </c>
      <c r="S83" s="2"/>
      <c r="T83" s="6">
        <v>856.38</v>
      </c>
      <c r="U83" s="2"/>
      <c r="V83" s="7">
        <f t="shared" si="48"/>
        <v>7.5377499447616323E-4</v>
      </c>
      <c r="W83" s="2"/>
      <c r="X83" s="6">
        <f t="shared" si="49"/>
        <v>-549.69000000000005</v>
      </c>
      <c r="Y83" s="2"/>
      <c r="Z83" s="7">
        <f t="shared" si="50"/>
        <v>-0.64187626988019342</v>
      </c>
    </row>
    <row r="84" spans="1:26" s="24" customFormat="1" hidden="1" outlineLevel="2" x14ac:dyDescent="0.25">
      <c r="A84" s="29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43"/>
        <v>0</v>
      </c>
      <c r="G84" s="2"/>
      <c r="H84" s="6"/>
      <c r="I84" s="2"/>
      <c r="J84" s="7">
        <f t="shared" si="44"/>
        <v>0</v>
      </c>
      <c r="K84" s="2"/>
      <c r="L84" s="6">
        <f t="shared" si="45"/>
        <v>0</v>
      </c>
      <c r="M84" s="2"/>
      <c r="N84" s="7">
        <f t="shared" si="46"/>
        <v>0</v>
      </c>
      <c r="O84" s="11"/>
      <c r="P84" s="6">
        <v>2912</v>
      </c>
      <c r="Q84" s="2"/>
      <c r="R84" s="7">
        <f t="shared" si="47"/>
        <v>3.9320547952900308E-3</v>
      </c>
      <c r="S84" s="2"/>
      <c r="T84" s="6"/>
      <c r="U84" s="2"/>
      <c r="V84" s="7">
        <f t="shared" si="48"/>
        <v>0</v>
      </c>
      <c r="W84" s="2"/>
      <c r="X84" s="6">
        <f t="shared" si="49"/>
        <v>2912</v>
      </c>
      <c r="Y84" s="2"/>
      <c r="Z84" s="7">
        <f t="shared" si="50"/>
        <v>0</v>
      </c>
    </row>
    <row r="85" spans="1:26" s="28" customFormat="1" outlineLevel="1" collapsed="1" x14ac:dyDescent="0.25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SUM(OSRRefD22_9x_0)</f>
        <v>203.45</v>
      </c>
      <c r="E85" s="1"/>
      <c r="F85" s="5">
        <f t="shared" ref="F85:F88" si="51">IF(D$12=0,0,D85/D$12)</f>
        <v>1.6014662488134626E-3</v>
      </c>
      <c r="G85" s="1"/>
      <c r="H85" s="1">
        <f>SUM(OSRRefH22_9x_0)</f>
        <v>354.3</v>
      </c>
      <c r="I85" s="1"/>
      <c r="J85" s="5">
        <f t="shared" ref="J85:J88" si="52">IF(H$12=0,0,H85/H$12)</f>
        <v>2.0499106671727314E-3</v>
      </c>
      <c r="K85" s="1"/>
      <c r="L85" s="1">
        <f t="shared" ref="L85:L88" si="53">+D85-H85</f>
        <v>-150.85000000000002</v>
      </c>
      <c r="M85" s="1"/>
      <c r="N85" s="5">
        <f t="shared" ref="N85:N88" si="54">IF(H85=0,0,L85/H85)</f>
        <v>-0.42576912221281404</v>
      </c>
      <c r="O85" s="14"/>
      <c r="P85" s="1">
        <f>SUM(OSRRefP22_9x_0)</f>
        <v>849.9</v>
      </c>
      <c r="Q85" s="1"/>
      <c r="R85" s="5">
        <f t="shared" ref="R85:R88" si="55">IF(P$12=0,0,P85/P$12)</f>
        <v>1.1476144816335841E-3</v>
      </c>
      <c r="S85" s="1"/>
      <c r="T85" s="1">
        <f>SUM(OSRRefT22_9x_0)</f>
        <v>1265.8499999999999</v>
      </c>
      <c r="U85" s="1"/>
      <c r="V85" s="5">
        <f t="shared" ref="V85:V88" si="56">IF(T$12=0,0,T85/T$12)</f>
        <v>1.1141853812065335E-3</v>
      </c>
      <c r="W85" s="1"/>
      <c r="X85" s="1">
        <f t="shared" ref="X85:X88" si="57">+P85-T85</f>
        <v>-415.94999999999993</v>
      </c>
      <c r="Y85" s="1"/>
      <c r="Z85" s="5">
        <f t="shared" ref="Z85:Z88" si="58">IF(T85=0,0,X85/T85)</f>
        <v>-0.32859343524114226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6">
        <v>203.45</v>
      </c>
      <c r="E86" s="2"/>
      <c r="F86" s="7">
        <f t="shared" si="51"/>
        <v>1.6014662488134626E-3</v>
      </c>
      <c r="G86" s="2"/>
      <c r="H86" s="6">
        <v>354.3</v>
      </c>
      <c r="I86" s="2"/>
      <c r="J86" s="7">
        <f t="shared" si="52"/>
        <v>2.0499106671727314E-3</v>
      </c>
      <c r="K86" s="2"/>
      <c r="L86" s="6">
        <f t="shared" si="53"/>
        <v>-150.85000000000002</v>
      </c>
      <c r="M86" s="2"/>
      <c r="N86" s="7">
        <f t="shared" si="54"/>
        <v>-0.42576912221281404</v>
      </c>
      <c r="O86" s="11"/>
      <c r="P86" s="6">
        <v>849.9</v>
      </c>
      <c r="Q86" s="2"/>
      <c r="R86" s="7">
        <f t="shared" si="55"/>
        <v>1.1476144816335841E-3</v>
      </c>
      <c r="S86" s="2"/>
      <c r="T86" s="6">
        <v>1265.8499999999999</v>
      </c>
      <c r="U86" s="2"/>
      <c r="V86" s="7">
        <f t="shared" si="56"/>
        <v>1.1141853812065335E-3</v>
      </c>
      <c r="W86" s="2"/>
      <c r="X86" s="6">
        <f t="shared" si="57"/>
        <v>-415.94999999999993</v>
      </c>
      <c r="Y86" s="2"/>
      <c r="Z86" s="7">
        <f t="shared" si="58"/>
        <v>-0.32859343524114226</v>
      </c>
    </row>
    <row r="87" spans="1:26" s="28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SUM(OSRRefD22_10x_0)</f>
        <v>0</v>
      </c>
      <c r="E87" s="1"/>
      <c r="F87" s="5">
        <f t="shared" si="51"/>
        <v>0</v>
      </c>
      <c r="G87" s="1"/>
      <c r="H87" s="1">
        <f>SUM(OSRRefH22_10x_0)</f>
        <v>100</v>
      </c>
      <c r="I87" s="1"/>
      <c r="J87" s="5">
        <f t="shared" si="52"/>
        <v>5.7858048748877535E-4</v>
      </c>
      <c r="K87" s="1"/>
      <c r="L87" s="1">
        <f t="shared" si="53"/>
        <v>-100</v>
      </c>
      <c r="M87" s="1"/>
      <c r="N87" s="5">
        <f t="shared" si="54"/>
        <v>-1</v>
      </c>
      <c r="O87" s="14"/>
      <c r="P87" s="1">
        <f>SUM(OSRRefP22_10x_0)</f>
        <v>0</v>
      </c>
      <c r="Q87" s="1"/>
      <c r="R87" s="5">
        <f t="shared" si="55"/>
        <v>0</v>
      </c>
      <c r="S87" s="1"/>
      <c r="T87" s="1">
        <f>SUM(OSRRefT22_10x_0)</f>
        <v>100</v>
      </c>
      <c r="U87" s="1"/>
      <c r="V87" s="5">
        <f t="shared" si="56"/>
        <v>8.8018752712132841E-5</v>
      </c>
      <c r="W87" s="1"/>
      <c r="X87" s="1">
        <f t="shared" si="57"/>
        <v>-100</v>
      </c>
      <c r="Y87" s="1"/>
      <c r="Z87" s="5">
        <f t="shared" si="58"/>
        <v>-1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1"/>
        <v>0</v>
      </c>
      <c r="G88" s="2"/>
      <c r="H88" s="6">
        <v>100</v>
      </c>
      <c r="I88" s="2"/>
      <c r="J88" s="7">
        <f t="shared" si="52"/>
        <v>5.7858048748877535E-4</v>
      </c>
      <c r="K88" s="2"/>
      <c r="L88" s="6">
        <f t="shared" si="53"/>
        <v>-100</v>
      </c>
      <c r="M88" s="2"/>
      <c r="N88" s="7">
        <f t="shared" si="54"/>
        <v>-1</v>
      </c>
      <c r="O88" s="11"/>
      <c r="P88" s="6"/>
      <c r="Q88" s="2"/>
      <c r="R88" s="7">
        <f t="shared" si="55"/>
        <v>0</v>
      </c>
      <c r="S88" s="2"/>
      <c r="T88" s="6">
        <v>100</v>
      </c>
      <c r="U88" s="2"/>
      <c r="V88" s="7">
        <f t="shared" si="56"/>
        <v>8.8018752712132841E-5</v>
      </c>
      <c r="W88" s="2"/>
      <c r="X88" s="6">
        <f t="shared" si="57"/>
        <v>-100</v>
      </c>
      <c r="Y88" s="2"/>
      <c r="Z88" s="7">
        <f t="shared" si="58"/>
        <v>-1</v>
      </c>
    </row>
    <row r="89" spans="1:26" s="56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5" t="s">
        <v>292</v>
      </c>
      <c r="C90" s="10"/>
      <c r="D90" s="4">
        <f>SUM(OSRRefD25x_0)</f>
        <v>-964.18999999999994</v>
      </c>
      <c r="E90" s="4"/>
      <c r="F90" s="12">
        <f t="shared" ref="F90:F93" si="59">IF(D$12=0,0,D90/D$12)</f>
        <v>-7.5896669572054678E-3</v>
      </c>
      <c r="G90" s="4"/>
      <c r="H90" s="4">
        <f>SUM(OSRRefH25x_0)</f>
        <v>1355.96</v>
      </c>
      <c r="I90" s="4"/>
      <c r="J90" s="12">
        <f t="shared" ref="J90:J93" si="60">IF(H$12=0,0,H90/H$12)</f>
        <v>7.8453199781527982E-3</v>
      </c>
      <c r="K90" s="4"/>
      <c r="L90" s="4">
        <f t="shared" ref="L90:L93" si="61">+D90-H90</f>
        <v>-2320.15</v>
      </c>
      <c r="M90" s="4"/>
      <c r="N90" s="12">
        <f t="shared" ref="N90:N93" si="62">IF(H90=0,0,L90/H90)</f>
        <v>-1.7110755479512669</v>
      </c>
      <c r="O90" s="10"/>
      <c r="P90" s="4">
        <f>SUM(OSRRefP25x_0)</f>
        <v>1807.25</v>
      </c>
      <c r="Q90" s="4"/>
      <c r="R90" s="12">
        <f t="shared" ref="R90:R93" si="63">IF(P$12=0,0,P90/P$12)</f>
        <v>2.440318004391452E-3</v>
      </c>
      <c r="S90" s="4"/>
      <c r="T90" s="4">
        <f>SUM(OSRRefT25x_0)</f>
        <v>1123.24</v>
      </c>
      <c r="U90" s="4"/>
      <c r="V90" s="12">
        <f t="shared" ref="V90:V93" si="64">IF(T$12=0,0,T90/T$12)</f>
        <v>9.8866183796376093E-4</v>
      </c>
      <c r="W90" s="4"/>
      <c r="X90" s="4">
        <f t="shared" ref="X90:X93" si="65">+P90-T90</f>
        <v>684.01</v>
      </c>
      <c r="Y90" s="4"/>
      <c r="Z90" s="12">
        <f t="shared" ref="Z90:Z93" si="66">IF(T90=0,0,X90/T90)</f>
        <v>0.60896157544246998</v>
      </c>
    </row>
    <row r="91" spans="1:26" s="24" customFormat="1" hidden="1" outlineLevel="1" x14ac:dyDescent="0.25">
      <c r="A91" s="44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0</f>
        <v>0</v>
      </c>
      <c r="E91" s="2"/>
      <c r="F91" s="19">
        <f t="shared" si="59"/>
        <v>0</v>
      </c>
      <c r="G91" s="2"/>
      <c r="H91" s="2">
        <f>--792.83</f>
        <v>792.83</v>
      </c>
      <c r="I91" s="2"/>
      <c r="J91" s="19">
        <f t="shared" si="60"/>
        <v>4.587159678957258E-3</v>
      </c>
      <c r="K91" s="2"/>
      <c r="L91" s="2">
        <f t="shared" si="61"/>
        <v>-792.83</v>
      </c>
      <c r="M91" s="2"/>
      <c r="N91" s="19">
        <f t="shared" si="62"/>
        <v>-1</v>
      </c>
      <c r="O91" s="11"/>
      <c r="P91" s="2">
        <f>0</f>
        <v>0</v>
      </c>
      <c r="Q91" s="2"/>
      <c r="R91" s="19">
        <f t="shared" si="63"/>
        <v>0</v>
      </c>
      <c r="S91" s="2"/>
      <c r="T91" s="2">
        <f>--937.96</f>
        <v>937.96</v>
      </c>
      <c r="U91" s="2"/>
      <c r="V91" s="19">
        <f t="shared" si="64"/>
        <v>8.2558069293872129E-4</v>
      </c>
      <c r="W91" s="2"/>
      <c r="X91" s="2">
        <f t="shared" si="65"/>
        <v>-937.96</v>
      </c>
      <c r="Y91" s="2"/>
      <c r="Z91" s="19">
        <f t="shared" si="66"/>
        <v>-1</v>
      </c>
    </row>
    <row r="92" spans="1:26" s="24" customFormat="1" hidden="1" outlineLevel="1" x14ac:dyDescent="0.25">
      <c r="A92" s="44"/>
      <c r="B92" s="11" t="str">
        <f>CONCATENATE("          ", "9087", " - ", "")</f>
        <v xml:space="preserve">          9087 - </v>
      </c>
      <c r="C92" s="11"/>
      <c r="D92" s="2">
        <f>-830.04</f>
        <v>-830.04</v>
      </c>
      <c r="E92" s="2"/>
      <c r="F92" s="19">
        <f t="shared" si="59"/>
        <v>-6.5336989194648637E-3</v>
      </c>
      <c r="G92" s="2"/>
      <c r="H92" s="2">
        <f>0</f>
        <v>0</v>
      </c>
      <c r="I92" s="2"/>
      <c r="J92" s="19">
        <f t="shared" si="60"/>
        <v>0</v>
      </c>
      <c r="K92" s="2"/>
      <c r="L92" s="2">
        <f t="shared" si="61"/>
        <v>-830.04</v>
      </c>
      <c r="M92" s="2"/>
      <c r="N92" s="19">
        <f t="shared" si="62"/>
        <v>0</v>
      </c>
      <c r="O92" s="11"/>
      <c r="P92" s="2">
        <f>-466.39</f>
        <v>-466.39</v>
      </c>
      <c r="Q92" s="2"/>
      <c r="R92" s="19">
        <f t="shared" si="63"/>
        <v>-6.2976340521130405E-4</v>
      </c>
      <c r="S92" s="2"/>
      <c r="T92" s="2">
        <f>0</f>
        <v>0</v>
      </c>
      <c r="U92" s="2"/>
      <c r="V92" s="19">
        <f t="shared" si="64"/>
        <v>0</v>
      </c>
      <c r="W92" s="2"/>
      <c r="X92" s="2">
        <f t="shared" si="65"/>
        <v>-466.39</v>
      </c>
      <c r="Y92" s="2"/>
      <c r="Z92" s="19">
        <f t="shared" si="66"/>
        <v>0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-134.15</f>
        <v>-134.15</v>
      </c>
      <c r="E93" s="2"/>
      <c r="F93" s="19">
        <f t="shared" si="59"/>
        <v>-1.0559680377406047E-3</v>
      </c>
      <c r="G93" s="2"/>
      <c r="H93" s="2">
        <f>--563.13</f>
        <v>563.13</v>
      </c>
      <c r="I93" s="2"/>
      <c r="J93" s="19">
        <f t="shared" si="60"/>
        <v>3.2581602991955407E-3</v>
      </c>
      <c r="K93" s="2"/>
      <c r="L93" s="2">
        <f t="shared" si="61"/>
        <v>-697.28</v>
      </c>
      <c r="M93" s="2"/>
      <c r="N93" s="19">
        <f t="shared" si="62"/>
        <v>-1.2382220801591106</v>
      </c>
      <c r="O93" s="11"/>
      <c r="P93" s="2">
        <f>--2273.64</f>
        <v>2273.64</v>
      </c>
      <c r="Q93" s="2"/>
      <c r="R93" s="19">
        <f t="shared" si="63"/>
        <v>3.0700814096027555E-3</v>
      </c>
      <c r="S93" s="2"/>
      <c r="T93" s="2">
        <f>--185.28</f>
        <v>185.28</v>
      </c>
      <c r="U93" s="2"/>
      <c r="V93" s="19">
        <f t="shared" si="64"/>
        <v>1.6308114502503973E-4</v>
      </c>
      <c r="W93" s="2"/>
      <c r="X93" s="2">
        <f t="shared" si="65"/>
        <v>2088.3599999999997</v>
      </c>
      <c r="Y93" s="2"/>
      <c r="Z93" s="19">
        <f t="shared" si="66"/>
        <v>11.271373056994817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276</v>
      </c>
      <c r="C95" s="26"/>
      <c r="D95" s="22">
        <f>+D49-D51+D90</f>
        <v>-18125.249999999989</v>
      </c>
      <c r="E95" s="13"/>
      <c r="F95" s="20">
        <f>IF(D$12=0,0,D95/D$12)</f>
        <v>-0.14267375830084147</v>
      </c>
      <c r="G95" s="13"/>
      <c r="H95" s="22">
        <f>+H49-H51+H90</f>
        <v>2806.6700000000483</v>
      </c>
      <c r="I95" s="13"/>
      <c r="J95" s="20">
        <f>IF(H$12=0,0,H95/H$12)</f>
        <v>1.623884496820149E-2</v>
      </c>
      <c r="K95" s="15"/>
      <c r="L95" s="22">
        <f>+D95-H95</f>
        <v>-20931.920000000038</v>
      </c>
      <c r="M95" s="15"/>
      <c r="N95" s="20">
        <f>IF(H95=0,0,L95/H95)</f>
        <v>-7.457919883705487</v>
      </c>
      <c r="O95" s="25"/>
      <c r="P95" s="22">
        <f>+P49-P51+P90</f>
        <v>63627.470000000103</v>
      </c>
      <c r="Q95" s="13"/>
      <c r="R95" s="20">
        <f>IF(P$12=0,0,P95/P$12)</f>
        <v>8.5915761856343739E-2</v>
      </c>
      <c r="S95" s="13"/>
      <c r="T95" s="22">
        <f>+T49-T51+T90</f>
        <v>2064.9800000000268</v>
      </c>
      <c r="U95" s="13"/>
      <c r="V95" s="20">
        <f>IF(T$12=0,0,T95/T$12)</f>
        <v>1.8175696397550246E-3</v>
      </c>
      <c r="W95" s="15"/>
      <c r="X95" s="22">
        <f>+P95-T95</f>
        <v>61562.490000000078</v>
      </c>
      <c r="Y95" s="15"/>
      <c r="Z95" s="20">
        <f>IF(T95=0,0,X95/T95)</f>
        <v>29.812632567869557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127</v>
      </c>
      <c r="C97" s="10"/>
      <c r="D97" s="4">
        <v>9663.6200000000008</v>
      </c>
      <c r="E97" s="4"/>
      <c r="F97" s="12">
        <f>IF(D$12=0,0,D97/D$12)</f>
        <v>7.6067639574139867E-2</v>
      </c>
      <c r="G97" s="4"/>
      <c r="H97" s="4">
        <v>67655.09</v>
      </c>
      <c r="I97" s="4"/>
      <c r="J97" s="12">
        <f>IF(H$12=0,0,H97/H$12)</f>
        <v>0.39143914953296971</v>
      </c>
      <c r="K97" s="4"/>
      <c r="L97" s="4">
        <f>+D97-H97</f>
        <v>-57991.469999999994</v>
      </c>
      <c r="M97" s="4"/>
      <c r="N97" s="12">
        <f>IF(H97=0,0,L97/H97)</f>
        <v>-0.85716344476077111</v>
      </c>
      <c r="O97" s="10"/>
      <c r="P97" s="4">
        <v>85604.9</v>
      </c>
      <c r="Q97" s="4"/>
      <c r="R97" s="12">
        <f>IF(P$12=0,0,P97/P$12)</f>
        <v>0.11559174366254241</v>
      </c>
      <c r="S97" s="4"/>
      <c r="T97" s="4">
        <v>246108.39</v>
      </c>
      <c r="U97" s="4"/>
      <c r="V97" s="12">
        <f>IF(T$12=0,0,T97/T$12)</f>
        <v>0.2166215351979115</v>
      </c>
      <c r="W97" s="4"/>
      <c r="X97" s="4">
        <f>+P97-T97</f>
        <v>-160503.49000000002</v>
      </c>
      <c r="Y97" s="4"/>
      <c r="Z97" s="12">
        <f>IF(T97=0,0,X97/T97)</f>
        <v>-0.65216586074127747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125</v>
      </c>
      <c r="C99" s="26"/>
      <c r="D99" s="33">
        <f>+D95-D97</f>
        <v>-27788.869999999988</v>
      </c>
      <c r="E99" s="13"/>
      <c r="F99" s="31">
        <f>IF(D$12=0,0,D99/D$12)</f>
        <v>-0.21874139787498131</v>
      </c>
      <c r="G99" s="13"/>
      <c r="H99" s="33">
        <f>+H95-H97</f>
        <v>-64848.419999999947</v>
      </c>
      <c r="I99" s="13"/>
      <c r="J99" s="31">
        <f>IF(H$12=0,0,H99/H$12)</f>
        <v>-0.37520030456476822</v>
      </c>
      <c r="K99" s="15"/>
      <c r="L99" s="33">
        <f>D99-H99</f>
        <v>37059.549999999959</v>
      </c>
      <c r="M99" s="15"/>
      <c r="N99" s="31">
        <f>IF(H99=0,0,L99/H99)</f>
        <v>-0.5714796135356881</v>
      </c>
      <c r="O99" s="25"/>
      <c r="P99" s="33">
        <f>+P95-P97</f>
        <v>-21977.429999999891</v>
      </c>
      <c r="Q99" s="13"/>
      <c r="R99" s="31">
        <f>IF(P$12=0,0,P99/P$12)</f>
        <v>-2.9675981806198678E-2</v>
      </c>
      <c r="S99" s="13"/>
      <c r="T99" s="33">
        <f>+T95-T97</f>
        <v>-244043.40999999997</v>
      </c>
      <c r="U99" s="13"/>
      <c r="V99" s="31">
        <f>IF(T$12=0,0,T99/T$12)</f>
        <v>-0.21480396555815645</v>
      </c>
      <c r="W99" s="15"/>
      <c r="X99" s="33">
        <f>P99-T99</f>
        <v>222065.9800000001</v>
      </c>
      <c r="Y99" s="15"/>
      <c r="Z99" s="31">
        <f>IF(T99=0,0,X99/T99)</f>
        <v>-0.90994458731747818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293</v>
      </c>
      <c r="C102" s="26"/>
      <c r="D102" s="34">
        <f>SUM(D99:D101)</f>
        <v>-27788.869999999988</v>
      </c>
      <c r="E102" s="13"/>
      <c r="F102" s="30">
        <f>IF(D$12=0,0,D102/D$12)</f>
        <v>-0.21874139787498131</v>
      </c>
      <c r="G102" s="13"/>
      <c r="H102" s="34">
        <f>SUM(H99:H101)</f>
        <v>-64848.419999999947</v>
      </c>
      <c r="I102" s="13"/>
      <c r="J102" s="30">
        <f>IF(H$12=0,0,H102/H$12)</f>
        <v>-0.37520030456476822</v>
      </c>
      <c r="K102" s="15"/>
      <c r="L102" s="34">
        <f>+D102-H102</f>
        <v>37059.549999999959</v>
      </c>
      <c r="M102" s="15"/>
      <c r="N102" s="30">
        <f>IF(H102=0,0,L102/H102)</f>
        <v>-0.5714796135356881</v>
      </c>
      <c r="O102" s="25"/>
      <c r="P102" s="34">
        <f>SUM(P99:P101)</f>
        <v>-21977.429999999891</v>
      </c>
      <c r="Q102" s="13"/>
      <c r="R102" s="30">
        <f>IF(P$12=0,0,P102/P$12)</f>
        <v>-2.9675981806198678E-2</v>
      </c>
      <c r="S102" s="13"/>
      <c r="T102" s="34">
        <f>SUM(T99:T101)</f>
        <v>-244043.40999999997</v>
      </c>
      <c r="U102" s="13"/>
      <c r="V102" s="30">
        <f>IF(T$12=0,0,T102/T$12)</f>
        <v>-0.21480396555815645</v>
      </c>
      <c r="W102" s="15"/>
      <c r="X102" s="34">
        <f>+P102-T102</f>
        <v>222065.9800000001</v>
      </c>
      <c r="Y102" s="15"/>
      <c r="Z102" s="30">
        <f>IF(T102=0,0,X102/T102)</f>
        <v>-0.90994458731747818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61">
        <v>44517.967019328702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7" t="s">
        <v>56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8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127039.83</v>
      </c>
      <c r="E12" s="4"/>
      <c r="F12" s="12"/>
      <c r="G12" s="4"/>
      <c r="H12" s="4">
        <f>SUM(OSRRefH13x_0)</f>
        <v>172836.80000000005</v>
      </c>
      <c r="I12" s="4"/>
      <c r="J12" s="12"/>
      <c r="K12" s="4"/>
      <c r="L12" s="4">
        <f t="shared" ref="L12:L33" si="0">+D12-H12</f>
        <v>-45796.970000000045</v>
      </c>
      <c r="M12" s="4"/>
      <c r="N12" s="12">
        <f t="shared" ref="N12:N33" si="1">IF(H12=0,0,L12/H12)</f>
        <v>-0.26497233228108846</v>
      </c>
      <c r="O12" s="10"/>
      <c r="P12" s="4">
        <f>SUM(OSRRefP13x_0)</f>
        <v>740579.71</v>
      </c>
      <c r="Q12" s="4"/>
      <c r="R12" s="12"/>
      <c r="S12" s="4"/>
      <c r="T12" s="4">
        <f>SUM(OSRRefT13x_0)</f>
        <v>1136121.5299999998</v>
      </c>
      <c r="U12" s="4"/>
      <c r="V12" s="12"/>
      <c r="W12" s="4"/>
      <c r="X12" s="4">
        <f t="shared" ref="X12:X33" si="2">+P12-T12</f>
        <v>-395541.81999999983</v>
      </c>
      <c r="Y12" s="4"/>
      <c r="Z12" s="12">
        <f t="shared" ref="Z12:Z33" si="3">IF(T12=0,0,X12/T12)</f>
        <v>-0.3481509764188695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--84581.19</f>
        <v>84581.19</v>
      </c>
      <c r="E13" s="2"/>
      <c r="F13" s="19"/>
      <c r="G13" s="2"/>
      <c r="H13" s="2">
        <f>-178.39</f>
        <v>-178.39</v>
      </c>
      <c r="I13" s="2"/>
      <c r="J13" s="19"/>
      <c r="K13" s="2"/>
      <c r="L13" s="2">
        <f t="shared" si="0"/>
        <v>84759.58</v>
      </c>
      <c r="M13" s="2"/>
      <c r="N13" s="19">
        <f t="shared" si="1"/>
        <v>-475.13638656875389</v>
      </c>
      <c r="O13" s="11"/>
      <c r="P13" s="2">
        <f>--582510.51</f>
        <v>582510.51</v>
      </c>
      <c r="Q13" s="2"/>
      <c r="R13" s="19"/>
      <c r="S13" s="2"/>
      <c r="T13" s="2">
        <f>-1902.09</f>
        <v>-1902.09</v>
      </c>
      <c r="U13" s="2"/>
      <c r="V13" s="19"/>
      <c r="W13" s="2"/>
      <c r="X13" s="2">
        <f t="shared" si="2"/>
        <v>584412.6</v>
      </c>
      <c r="Y13" s="2"/>
      <c r="Z13" s="19">
        <f t="shared" si="3"/>
        <v>-307.24760658013025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--5014.67</f>
        <v>5014.67</v>
      </c>
      <c r="I14" s="2"/>
      <c r="J14" s="19"/>
      <c r="K14" s="2"/>
      <c r="L14" s="2">
        <f t="shared" si="0"/>
        <v>-5014.67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--55045.34</f>
        <v>55045.34</v>
      </c>
      <c r="U14" s="2"/>
      <c r="V14" s="19"/>
      <c r="W14" s="2"/>
      <c r="X14" s="2">
        <f t="shared" si="2"/>
        <v>-55045.34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--152786.78</f>
        <v>152786.78</v>
      </c>
      <c r="I15" s="2"/>
      <c r="J15" s="19"/>
      <c r="K15" s="2"/>
      <c r="L15" s="2">
        <f t="shared" si="0"/>
        <v>-152786.78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--892099.99</f>
        <v>892099.99</v>
      </c>
      <c r="U15" s="2"/>
      <c r="V15" s="19"/>
      <c r="W15" s="2"/>
      <c r="X15" s="2">
        <f t="shared" si="2"/>
        <v>-892099.99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--3392.4</f>
        <v>3392.4</v>
      </c>
      <c r="I16" s="2"/>
      <c r="J16" s="19"/>
      <c r="K16" s="2"/>
      <c r="L16" s="2">
        <f t="shared" si="0"/>
        <v>-3392.4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--72045.1</f>
        <v>72045.100000000006</v>
      </c>
      <c r="U16" s="2"/>
      <c r="V16" s="19"/>
      <c r="W16" s="2"/>
      <c r="X16" s="2">
        <f t="shared" si="2"/>
        <v>-72045.100000000006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--139</f>
        <v>139</v>
      </c>
      <c r="I17" s="2"/>
      <c r="J17" s="19"/>
      <c r="K17" s="2"/>
      <c r="L17" s="2">
        <f t="shared" si="0"/>
        <v>-139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--1120.96</f>
        <v>1120.96</v>
      </c>
      <c r="U17" s="2"/>
      <c r="V17" s="19"/>
      <c r="W17" s="2"/>
      <c r="X17" s="2">
        <f t="shared" si="2"/>
        <v>-1120.96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--1385.25</f>
        <v>1385.25</v>
      </c>
      <c r="I18" s="2"/>
      <c r="J18" s="19"/>
      <c r="K18" s="2"/>
      <c r="L18" s="2">
        <f t="shared" si="0"/>
        <v>-1385.25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--29366.66</f>
        <v>29366.66</v>
      </c>
      <c r="U18" s="2"/>
      <c r="V18" s="19"/>
      <c r="W18" s="2"/>
      <c r="X18" s="2">
        <f t="shared" si="2"/>
        <v>-29366.66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--70707.37</f>
        <v>70707.37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70707.37</v>
      </c>
      <c r="M19" s="2"/>
      <c r="N19" s="19">
        <f t="shared" si="1"/>
        <v>0</v>
      </c>
      <c r="O19" s="11"/>
      <c r="P19" s="2">
        <f>--267181.89</f>
        <v>267181.89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267181.89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--194.97</f>
        <v>194.97</v>
      </c>
      <c r="I20" s="2"/>
      <c r="J20" s="19"/>
      <c r="K20" s="2"/>
      <c r="L20" s="2">
        <f t="shared" si="0"/>
        <v>-194.97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--3504.13</f>
        <v>3504.13</v>
      </c>
      <c r="U20" s="2"/>
      <c r="V20" s="19"/>
      <c r="W20" s="2"/>
      <c r="X20" s="2">
        <f t="shared" si="2"/>
        <v>-3504.13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--24570</f>
        <v>24570</v>
      </c>
      <c r="I21" s="2"/>
      <c r="J21" s="19"/>
      <c r="K21" s="2"/>
      <c r="L21" s="2">
        <f t="shared" si="0"/>
        <v>-24570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--145294.38</f>
        <v>145294.38</v>
      </c>
      <c r="U21" s="2"/>
      <c r="V21" s="19"/>
      <c r="W21" s="2"/>
      <c r="X21" s="2">
        <f t="shared" si="2"/>
        <v>-145294.38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--1269.91</f>
        <v>1269.9100000000001</v>
      </c>
      <c r="I22" s="2"/>
      <c r="J22" s="19"/>
      <c r="K22" s="2"/>
      <c r="L22" s="2">
        <f t="shared" si="0"/>
        <v>-1269.9100000000001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--6336.39</f>
        <v>6336.39</v>
      </c>
      <c r="U22" s="2"/>
      <c r="V22" s="19"/>
      <c r="W22" s="2"/>
      <c r="X22" s="2">
        <f t="shared" si="2"/>
        <v>-6336.39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--4590.76</f>
        <v>4590.76</v>
      </c>
      <c r="I23" s="2"/>
      <c r="J23" s="19"/>
      <c r="K23" s="2"/>
      <c r="L23" s="2">
        <f t="shared" si="0"/>
        <v>-4590.76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--23816.85</f>
        <v>23816.85</v>
      </c>
      <c r="U23" s="2"/>
      <c r="V23" s="19"/>
      <c r="W23" s="2"/>
      <c r="X23" s="2">
        <f t="shared" si="2"/>
        <v>-23816.85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--855.98</f>
        <v>855.98</v>
      </c>
      <c r="I24" s="2"/>
      <c r="J24" s="19"/>
      <c r="K24" s="2"/>
      <c r="L24" s="2">
        <f t="shared" si="0"/>
        <v>-855.98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--1729.77</f>
        <v>1729.77</v>
      </c>
      <c r="U24" s="2"/>
      <c r="V24" s="19"/>
      <c r="W24" s="2"/>
      <c r="X24" s="2">
        <f t="shared" si="2"/>
        <v>-1729.77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"4200", " - ", "TAXABLE RETURNS")</f>
        <v xml:space="preserve">          4200 - TAXABLE RETURNS</v>
      </c>
      <c r="C25" s="11"/>
      <c r="D25" s="2">
        <f>-28193.19</f>
        <v>-28193.19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-28193.19</v>
      </c>
      <c r="M25" s="2"/>
      <c r="N25" s="19">
        <f t="shared" si="1"/>
        <v>0</v>
      </c>
      <c r="O25" s="11"/>
      <c r="P25" s="2">
        <f>-108367.35</f>
        <v>-108367.35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-108367.35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2" si="8">0</f>
        <v>0</v>
      </c>
      <c r="E26" s="2"/>
      <c r="F26" s="19"/>
      <c r="G26" s="2"/>
      <c r="H26" s="2">
        <f>-357.99</f>
        <v>-357.99</v>
      </c>
      <c r="I26" s="2"/>
      <c r="J26" s="19"/>
      <c r="K26" s="2"/>
      <c r="L26" s="2">
        <f t="shared" si="0"/>
        <v>357.99</v>
      </c>
      <c r="M26" s="2"/>
      <c r="N26" s="19">
        <f t="shared" si="1"/>
        <v>-1</v>
      </c>
      <c r="O26" s="11"/>
      <c r="P26" s="2">
        <f t="shared" ref="P26:P30" si="9">0</f>
        <v>0</v>
      </c>
      <c r="Q26" s="2"/>
      <c r="R26" s="19"/>
      <c r="S26" s="2"/>
      <c r="T26" s="2">
        <f>-14632.15</f>
        <v>-14632.15</v>
      </c>
      <c r="U26" s="2"/>
      <c r="V26" s="19"/>
      <c r="W26" s="2"/>
      <c r="X26" s="2">
        <f t="shared" si="2"/>
        <v>14632.15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-20038</f>
        <v>-20038</v>
      </c>
      <c r="I27" s="2"/>
      <c r="J27" s="19"/>
      <c r="K27" s="2"/>
      <c r="L27" s="2">
        <f t="shared" si="0"/>
        <v>20038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-68323</f>
        <v>-68323</v>
      </c>
      <c r="U27" s="2"/>
      <c r="V27" s="19"/>
      <c r="W27" s="2"/>
      <c r="X27" s="2">
        <f t="shared" si="2"/>
        <v>68323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-629.58</f>
        <v>-629.58000000000004</v>
      </c>
      <c r="I28" s="2"/>
      <c r="J28" s="19"/>
      <c r="K28" s="2"/>
      <c r="L28" s="2">
        <f t="shared" si="0"/>
        <v>629.58000000000004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-2632.31</f>
        <v>-2632.31</v>
      </c>
      <c r="U28" s="2"/>
      <c r="V28" s="19"/>
      <c r="W28" s="2"/>
      <c r="X28" s="2">
        <f t="shared" si="2"/>
        <v>2632.31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8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9"/>
        <v>0</v>
      </c>
      <c r="Q29" s="2"/>
      <c r="R29" s="19"/>
      <c r="S29" s="2"/>
      <c r="T29" s="2">
        <f>-552.98</f>
        <v>-552.98</v>
      </c>
      <c r="U29" s="2"/>
      <c r="V29" s="19"/>
      <c r="W29" s="2"/>
      <c r="X29" s="2">
        <f t="shared" si="2"/>
        <v>552.98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8"/>
        <v>0</v>
      </c>
      <c r="E30" s="2"/>
      <c r="F30" s="19"/>
      <c r="G30" s="2"/>
      <c r="H30" s="2">
        <f>-158.96</f>
        <v>-158.96</v>
      </c>
      <c r="I30" s="2"/>
      <c r="J30" s="19"/>
      <c r="K30" s="2"/>
      <c r="L30" s="2">
        <f t="shared" si="0"/>
        <v>158.96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-571.36</f>
        <v>-571.36</v>
      </c>
      <c r="U30" s="2"/>
      <c r="V30" s="19"/>
      <c r="W30" s="2"/>
      <c r="X30" s="2">
        <f t="shared" si="2"/>
        <v>571.36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"4300", " - ", "NON-TAX RETURNS")</f>
        <v xml:space="preserve">          4300 - NON-TAX RETURNS</v>
      </c>
      <c r="C31" s="11"/>
      <c r="D31" s="2">
        <f t="shared" si="8"/>
        <v>0</v>
      </c>
      <c r="E31" s="2"/>
      <c r="F31" s="19"/>
      <c r="G31" s="2"/>
      <c r="H31" s="2">
        <f t="shared" ref="H31:H33" si="10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-689.8</f>
        <v>-689.8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-689.8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 t="shared" si="8"/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"4500", " - ", "SALES DISCOUNT")</f>
        <v xml:space="preserve">          4500 - SALES DISCOUNT</v>
      </c>
      <c r="C33" s="11"/>
      <c r="D33" s="2">
        <f>-55.54</f>
        <v>-55.54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-55.54</v>
      </c>
      <c r="M33" s="2"/>
      <c r="N33" s="19">
        <f t="shared" si="1"/>
        <v>0</v>
      </c>
      <c r="O33" s="11"/>
      <c r="P33" s="2">
        <f>-55.54</f>
        <v>-55.54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-55.54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256</v>
      </c>
      <c r="C35" s="10"/>
      <c r="D35" s="4">
        <f>SUM(OSRRefD16x_0)</f>
        <v>128311.79</v>
      </c>
      <c r="E35" s="4"/>
      <c r="F35" s="12">
        <f t="shared" ref="F35:F47" si="11">IF(D$12=0,0,D35/D$12)</f>
        <v>1.0100122929950395</v>
      </c>
      <c r="G35" s="4"/>
      <c r="H35" s="4">
        <f>SUM(OSRRefH16x_0)</f>
        <v>156723</v>
      </c>
      <c r="I35" s="4"/>
      <c r="J35" s="12">
        <f t="shared" ref="J35:J47" si="12">IF(H$12=0,0,H35/H$12)</f>
        <v>0.90676869740703347</v>
      </c>
      <c r="K35" s="4"/>
      <c r="L35" s="4">
        <f t="shared" ref="L35:L47" si="13">+D35-H35</f>
        <v>-28411.210000000006</v>
      </c>
      <c r="M35" s="4"/>
      <c r="N35" s="12">
        <f t="shared" ref="N35:N47" si="14">IF(H35=0,0,L35/H35)</f>
        <v>-0.18128296421074128</v>
      </c>
      <c r="O35" s="10"/>
      <c r="P35" s="4">
        <f>SUM(OSRRefP16x_0)</f>
        <v>619734.33999999985</v>
      </c>
      <c r="Q35" s="4"/>
      <c r="R35" s="12">
        <f t="shared" ref="R35:R47" si="15">IF(P$12=0,0,P35/P$12)</f>
        <v>0.83682327726747996</v>
      </c>
      <c r="S35" s="4"/>
      <c r="T35" s="4">
        <f>SUM(OSRRefT16x_0)</f>
        <v>1081274.9999999998</v>
      </c>
      <c r="U35" s="4"/>
      <c r="V35" s="12">
        <f t="shared" ref="V35:V47" si="16">IF(T$12=0,0,T35/T$12)</f>
        <v>0.95172476838811426</v>
      </c>
      <c r="W35" s="4"/>
      <c r="X35" s="4">
        <f t="shared" ref="X35:X47" si="17">+P35-T35</f>
        <v>-461540.65999999992</v>
      </c>
      <c r="Y35" s="4"/>
      <c r="Z35" s="12">
        <f t="shared" ref="Z35:Z47" si="18">IF(T35=0,0,X35/T35)</f>
        <v>-0.42684854454232274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134649.96</v>
      </c>
      <c r="E36" s="2"/>
      <c r="F36" s="19">
        <f t="shared" si="11"/>
        <v>1.0599034964073866</v>
      </c>
      <c r="G36" s="2"/>
      <c r="H36" s="2"/>
      <c r="I36" s="2"/>
      <c r="J36" s="19">
        <f t="shared" si="12"/>
        <v>0</v>
      </c>
      <c r="K36" s="2"/>
      <c r="L36" s="2">
        <f t="shared" si="13"/>
        <v>134649.96</v>
      </c>
      <c r="M36" s="2"/>
      <c r="N36" s="19">
        <f t="shared" si="14"/>
        <v>0</v>
      </c>
      <c r="O36" s="11"/>
      <c r="P36" s="2">
        <v>686852.19</v>
      </c>
      <c r="Q36" s="2"/>
      <c r="R36" s="19">
        <f t="shared" si="15"/>
        <v>0.92745207669813146</v>
      </c>
      <c r="S36" s="2"/>
      <c r="T36" s="2">
        <v>0</v>
      </c>
      <c r="U36" s="2"/>
      <c r="V36" s="19">
        <f t="shared" si="16"/>
        <v>0</v>
      </c>
      <c r="W36" s="2"/>
      <c r="X36" s="2">
        <f t="shared" si="17"/>
        <v>686852.19</v>
      </c>
      <c r="Y36" s="2"/>
      <c r="Z36" s="19">
        <f t="shared" si="18"/>
        <v>0</v>
      </c>
    </row>
    <row r="37" spans="1:26" s="24" customFormat="1" hidden="1" outlineLevel="1" x14ac:dyDescent="0.25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1"/>
        <v>0</v>
      </c>
      <c r="G37" s="2"/>
      <c r="H37" s="2">
        <v>6249.76</v>
      </c>
      <c r="I37" s="2"/>
      <c r="J37" s="19">
        <f t="shared" si="12"/>
        <v>3.6159891874878489E-2</v>
      </c>
      <c r="K37" s="2"/>
      <c r="L37" s="2">
        <f t="shared" si="13"/>
        <v>-6249.76</v>
      </c>
      <c r="M37" s="2"/>
      <c r="N37" s="19">
        <f t="shared" si="14"/>
        <v>-1</v>
      </c>
      <c r="O37" s="11"/>
      <c r="P37" s="2">
        <v>0</v>
      </c>
      <c r="Q37" s="2"/>
      <c r="R37" s="19">
        <f t="shared" si="15"/>
        <v>0</v>
      </c>
      <c r="S37" s="2"/>
      <c r="T37" s="2">
        <v>21947.21</v>
      </c>
      <c r="U37" s="2"/>
      <c r="V37" s="19">
        <f t="shared" si="16"/>
        <v>1.931766049711249E-2</v>
      </c>
      <c r="W37" s="2"/>
      <c r="X37" s="2">
        <f t="shared" si="17"/>
        <v>-21947.21</v>
      </c>
      <c r="Y37" s="2"/>
      <c r="Z37" s="19">
        <f t="shared" si="18"/>
        <v>-1</v>
      </c>
    </row>
    <row r="38" spans="1:26" s="24" customFormat="1" hidden="1" outlineLevel="1" x14ac:dyDescent="0.25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-20540.88</v>
      </c>
      <c r="E38" s="2"/>
      <c r="F38" s="19">
        <f t="shared" si="11"/>
        <v>-0.16168850351893577</v>
      </c>
      <c r="G38" s="2"/>
      <c r="H38" s="2">
        <v>175404.87</v>
      </c>
      <c r="I38" s="2"/>
      <c r="J38" s="19">
        <f t="shared" si="12"/>
        <v>1.0148583519250527</v>
      </c>
      <c r="K38" s="2"/>
      <c r="L38" s="2">
        <f t="shared" si="13"/>
        <v>-195945.75</v>
      </c>
      <c r="M38" s="2"/>
      <c r="N38" s="19">
        <f t="shared" si="14"/>
        <v>-1.1171055284839013</v>
      </c>
      <c r="O38" s="11"/>
      <c r="P38" s="2">
        <v>-77324.73</v>
      </c>
      <c r="Q38" s="2"/>
      <c r="R38" s="19">
        <f t="shared" si="15"/>
        <v>-0.10441108358207653</v>
      </c>
      <c r="S38" s="2"/>
      <c r="T38" s="2">
        <v>888778.08</v>
      </c>
      <c r="U38" s="2"/>
      <c r="V38" s="19">
        <f t="shared" si="16"/>
        <v>0.78229138039484214</v>
      </c>
      <c r="W38" s="2"/>
      <c r="X38" s="2">
        <f t="shared" si="17"/>
        <v>-966102.80999999994</v>
      </c>
      <c r="Y38" s="2"/>
      <c r="Z38" s="19">
        <f t="shared" si="18"/>
        <v>-1.0870011668154551</v>
      </c>
    </row>
    <row r="39" spans="1:26" s="24" customFormat="1" hidden="1" outlineLevel="1" x14ac:dyDescent="0.25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1"/>
        <v>0</v>
      </c>
      <c r="G39" s="2"/>
      <c r="H39" s="2">
        <v>11838.95</v>
      </c>
      <c r="I39" s="2"/>
      <c r="J39" s="19">
        <f t="shared" si="12"/>
        <v>6.8497854623552373E-2</v>
      </c>
      <c r="K39" s="2"/>
      <c r="L39" s="2">
        <f t="shared" si="13"/>
        <v>-11838.95</v>
      </c>
      <c r="M39" s="2"/>
      <c r="N39" s="19">
        <f t="shared" si="14"/>
        <v>-1</v>
      </c>
      <c r="O39" s="11"/>
      <c r="P39" s="2">
        <v>0</v>
      </c>
      <c r="Q39" s="2"/>
      <c r="R39" s="19">
        <f t="shared" si="15"/>
        <v>0</v>
      </c>
      <c r="S39" s="2"/>
      <c r="T39" s="2">
        <v>73272.95</v>
      </c>
      <c r="U39" s="2"/>
      <c r="V39" s="19">
        <f t="shared" si="16"/>
        <v>6.4493936665384735E-2</v>
      </c>
      <c r="W39" s="2"/>
      <c r="X39" s="2">
        <f t="shared" si="17"/>
        <v>-73272.95</v>
      </c>
      <c r="Y39" s="2"/>
      <c r="Z39" s="19">
        <f t="shared" si="18"/>
        <v>-1</v>
      </c>
    </row>
    <row r="40" spans="1:26" s="24" customFormat="1" hidden="1" outlineLevel="1" x14ac:dyDescent="0.25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1"/>
        <v>0</v>
      </c>
      <c r="G40" s="2"/>
      <c r="H40" s="2">
        <v>5843.52</v>
      </c>
      <c r="I40" s="2"/>
      <c r="J40" s="19">
        <f t="shared" si="12"/>
        <v>3.380946650250409E-2</v>
      </c>
      <c r="K40" s="2"/>
      <c r="L40" s="2">
        <f t="shared" si="13"/>
        <v>-5843.52</v>
      </c>
      <c r="M40" s="2"/>
      <c r="N40" s="19">
        <f t="shared" si="14"/>
        <v>-1</v>
      </c>
      <c r="O40" s="11"/>
      <c r="P40" s="2">
        <v>0</v>
      </c>
      <c r="Q40" s="2"/>
      <c r="R40" s="19">
        <f t="shared" si="15"/>
        <v>0</v>
      </c>
      <c r="S40" s="2"/>
      <c r="T40" s="2">
        <v>20681.2</v>
      </c>
      <c r="U40" s="2"/>
      <c r="V40" s="19">
        <f t="shared" si="16"/>
        <v>1.820333428590162E-2</v>
      </c>
      <c r="W40" s="2"/>
      <c r="X40" s="2">
        <f t="shared" si="17"/>
        <v>-20681.2</v>
      </c>
      <c r="Y40" s="2"/>
      <c r="Z40" s="19">
        <f t="shared" si="18"/>
        <v>-1</v>
      </c>
    </row>
    <row r="41" spans="1:26" s="24" customFormat="1" hidden="1" outlineLevel="1" x14ac:dyDescent="0.25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1"/>
        <v>0</v>
      </c>
      <c r="G41" s="2"/>
      <c r="H41" s="2">
        <v>773.47</v>
      </c>
      <c r="I41" s="2"/>
      <c r="J41" s="19">
        <f t="shared" si="12"/>
        <v>4.4751464965794314E-3</v>
      </c>
      <c r="K41" s="2"/>
      <c r="L41" s="2">
        <f t="shared" si="13"/>
        <v>-773.47</v>
      </c>
      <c r="M41" s="2"/>
      <c r="N41" s="19">
        <f t="shared" si="14"/>
        <v>-1</v>
      </c>
      <c r="O41" s="11"/>
      <c r="P41" s="2">
        <v>0</v>
      </c>
      <c r="Q41" s="2"/>
      <c r="R41" s="19">
        <f t="shared" si="15"/>
        <v>0</v>
      </c>
      <c r="S41" s="2"/>
      <c r="T41" s="2">
        <v>22529.439999999999</v>
      </c>
      <c r="U41" s="2"/>
      <c r="V41" s="19">
        <f t="shared" si="16"/>
        <v>1.9830132081028341E-2</v>
      </c>
      <c r="W41" s="2"/>
      <c r="X41" s="2">
        <f t="shared" si="17"/>
        <v>-22529.439999999999</v>
      </c>
      <c r="Y41" s="2"/>
      <c r="Z41" s="19">
        <f t="shared" si="18"/>
        <v>-1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-134658.5</v>
      </c>
      <c r="E42" s="2"/>
      <c r="F42" s="19">
        <f t="shared" si="11"/>
        <v>-1.059970719419256</v>
      </c>
      <c r="G42" s="2"/>
      <c r="H42" s="2">
        <v>-200232.35</v>
      </c>
      <c r="I42" s="2"/>
      <c r="J42" s="19">
        <f t="shared" si="12"/>
        <v>-1.1585053067402309</v>
      </c>
      <c r="K42" s="2"/>
      <c r="L42" s="2">
        <f t="shared" si="13"/>
        <v>65573.850000000006</v>
      </c>
      <c r="M42" s="2"/>
      <c r="N42" s="19">
        <f t="shared" si="14"/>
        <v>-0.32748878989833563</v>
      </c>
      <c r="O42" s="11"/>
      <c r="P42" s="2">
        <v>-686896.38</v>
      </c>
      <c r="Q42" s="2"/>
      <c r="R42" s="19">
        <f t="shared" si="15"/>
        <v>-0.9275117461697675</v>
      </c>
      <c r="S42" s="2"/>
      <c r="T42" s="2">
        <v>-1027552.17</v>
      </c>
      <c r="U42" s="2"/>
      <c r="V42" s="19">
        <f t="shared" si="16"/>
        <v>-0.90443860350045491</v>
      </c>
      <c r="W42" s="2"/>
      <c r="X42" s="2">
        <f t="shared" si="17"/>
        <v>340655.79000000004</v>
      </c>
      <c r="Y42" s="2"/>
      <c r="Z42" s="19">
        <f t="shared" si="18"/>
        <v>-0.33152164916356514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>
        <v>148852.67000000001</v>
      </c>
      <c r="E43" s="2"/>
      <c r="F43" s="19">
        <f t="shared" si="11"/>
        <v>1.1717007965139752</v>
      </c>
      <c r="G43" s="2"/>
      <c r="H43" s="2">
        <v>156723</v>
      </c>
      <c r="I43" s="2"/>
      <c r="J43" s="19">
        <f t="shared" si="12"/>
        <v>0.90676869740703347</v>
      </c>
      <c r="K43" s="2"/>
      <c r="L43" s="2">
        <f t="shared" si="13"/>
        <v>-7870.3299999999872</v>
      </c>
      <c r="M43" s="2"/>
      <c r="N43" s="19">
        <f t="shared" si="14"/>
        <v>-5.0218091792525586E-2</v>
      </c>
      <c r="O43" s="11"/>
      <c r="P43" s="2">
        <v>697059.07</v>
      </c>
      <c r="Q43" s="2"/>
      <c r="R43" s="19">
        <f t="shared" si="15"/>
        <v>0.94123436084955658</v>
      </c>
      <c r="S43" s="2"/>
      <c r="T43" s="2">
        <v>1081275</v>
      </c>
      <c r="U43" s="2"/>
      <c r="V43" s="19">
        <f t="shared" si="16"/>
        <v>0.95172476838811437</v>
      </c>
      <c r="W43" s="2"/>
      <c r="X43" s="2">
        <f t="shared" si="17"/>
        <v>-384215.93000000005</v>
      </c>
      <c r="Y43" s="2"/>
      <c r="Z43" s="19">
        <f t="shared" si="18"/>
        <v>-0.35533599685556411</v>
      </c>
    </row>
    <row r="44" spans="1:26" s="24" customFormat="1" hidden="1" outlineLevel="1" x14ac:dyDescent="0.25">
      <c r="A44" s="44"/>
      <c r="B44" s="11" t="str">
        <f>CONCATENATE("          ", "5500", " - ", "FREIGHT-IN")</f>
        <v xml:space="preserve">          5500 - FREIGHT-IN</v>
      </c>
      <c r="C44" s="11"/>
      <c r="D44" s="2">
        <v>8.5399999999999991</v>
      </c>
      <c r="E44" s="2"/>
      <c r="F44" s="19">
        <f t="shared" si="11"/>
        <v>6.7223011869584515E-5</v>
      </c>
      <c r="G44" s="2"/>
      <c r="H44" s="2"/>
      <c r="I44" s="2"/>
      <c r="J44" s="19">
        <f t="shared" si="12"/>
        <v>0</v>
      </c>
      <c r="K44" s="2"/>
      <c r="L44" s="2">
        <f t="shared" si="13"/>
        <v>8.5399999999999991</v>
      </c>
      <c r="M44" s="2"/>
      <c r="N44" s="19">
        <f t="shared" si="14"/>
        <v>0</v>
      </c>
      <c r="O44" s="11"/>
      <c r="P44" s="2">
        <v>44.19</v>
      </c>
      <c r="Q44" s="2"/>
      <c r="R44" s="19">
        <f t="shared" si="15"/>
        <v>5.9669471635943144E-5</v>
      </c>
      <c r="S44" s="2"/>
      <c r="T44" s="2">
        <v>0</v>
      </c>
      <c r="U44" s="2"/>
      <c r="V44" s="19">
        <f t="shared" si="16"/>
        <v>0</v>
      </c>
      <c r="W44" s="2"/>
      <c r="X44" s="2">
        <f t="shared" si="17"/>
        <v>44.19</v>
      </c>
      <c r="Y44" s="2"/>
      <c r="Z44" s="19">
        <f t="shared" si="18"/>
        <v>0</v>
      </c>
    </row>
    <row r="45" spans="1:26" s="24" customFormat="1" hidden="1" outlineLevel="1" x14ac:dyDescent="0.25">
      <c r="A45" s="44"/>
      <c r="B45" s="11" t="str">
        <f>CONCATENATE("          ", "5582", " - ", "FREIGHT-IN-COMPUTER HARDWARE")</f>
        <v xml:space="preserve">          5582 - FREIGHT-IN-COMPUTER HARDWARE</v>
      </c>
      <c r="C45" s="11"/>
      <c r="D45" s="2"/>
      <c r="E45" s="2"/>
      <c r="F45" s="19">
        <f t="shared" si="11"/>
        <v>0</v>
      </c>
      <c r="G45" s="2"/>
      <c r="H45" s="2">
        <v>70</v>
      </c>
      <c r="I45" s="2"/>
      <c r="J45" s="19">
        <f t="shared" si="12"/>
        <v>4.0500634124214274E-4</v>
      </c>
      <c r="K45" s="2"/>
      <c r="L45" s="2">
        <f t="shared" si="13"/>
        <v>-70</v>
      </c>
      <c r="M45" s="2"/>
      <c r="N45" s="19">
        <f t="shared" si="14"/>
        <v>-1</v>
      </c>
      <c r="O45" s="11"/>
      <c r="P45" s="2"/>
      <c r="Q45" s="2"/>
      <c r="R45" s="19">
        <f t="shared" si="15"/>
        <v>0</v>
      </c>
      <c r="S45" s="2"/>
      <c r="T45" s="2">
        <v>94</v>
      </c>
      <c r="U45" s="2"/>
      <c r="V45" s="19">
        <f t="shared" si="16"/>
        <v>8.2737627549404874E-5</v>
      </c>
      <c r="W45" s="2"/>
      <c r="X45" s="2">
        <f t="shared" si="17"/>
        <v>-94</v>
      </c>
      <c r="Y45" s="2"/>
      <c r="Z45" s="19">
        <f t="shared" si="18"/>
        <v>-1</v>
      </c>
    </row>
    <row r="46" spans="1:26" s="24" customFormat="1" hidden="1" outlineLevel="1" x14ac:dyDescent="0.25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2"/>
      <c r="E46" s="2"/>
      <c r="F46" s="19">
        <f t="shared" si="11"/>
        <v>0</v>
      </c>
      <c r="G46" s="2"/>
      <c r="H46" s="2">
        <v>51.78</v>
      </c>
      <c r="I46" s="2"/>
      <c r="J46" s="19">
        <f t="shared" si="12"/>
        <v>2.9958897642168791E-4</v>
      </c>
      <c r="K46" s="2"/>
      <c r="L46" s="2">
        <f t="shared" si="13"/>
        <v>-51.78</v>
      </c>
      <c r="M46" s="2"/>
      <c r="N46" s="19">
        <f t="shared" si="14"/>
        <v>-1</v>
      </c>
      <c r="O46" s="11"/>
      <c r="P46" s="2">
        <v>0</v>
      </c>
      <c r="Q46" s="2"/>
      <c r="R46" s="19">
        <f t="shared" si="15"/>
        <v>0</v>
      </c>
      <c r="S46" s="2"/>
      <c r="T46" s="2">
        <v>225.17</v>
      </c>
      <c r="U46" s="2"/>
      <c r="V46" s="19">
        <f t="shared" si="16"/>
        <v>1.9819182548190951E-4</v>
      </c>
      <c r="W46" s="2"/>
      <c r="X46" s="2">
        <f t="shared" si="17"/>
        <v>-225.17</v>
      </c>
      <c r="Y46" s="2"/>
      <c r="Z46" s="19">
        <f t="shared" si="18"/>
        <v>-1</v>
      </c>
    </row>
    <row r="47" spans="1:26" s="24" customFormat="1" hidden="1" outlineLevel="1" x14ac:dyDescent="0.25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11"/>
        <v>0</v>
      </c>
      <c r="G47" s="2"/>
      <c r="H47" s="2"/>
      <c r="I47" s="2"/>
      <c r="J47" s="19">
        <f t="shared" si="12"/>
        <v>0</v>
      </c>
      <c r="K47" s="2"/>
      <c r="L47" s="2">
        <f t="shared" si="13"/>
        <v>0</v>
      </c>
      <c r="M47" s="2"/>
      <c r="N47" s="19">
        <f t="shared" si="14"/>
        <v>0</v>
      </c>
      <c r="O47" s="11"/>
      <c r="P47" s="2"/>
      <c r="Q47" s="2"/>
      <c r="R47" s="19">
        <f t="shared" si="15"/>
        <v>0</v>
      </c>
      <c r="S47" s="2"/>
      <c r="T47" s="2">
        <v>24.12</v>
      </c>
      <c r="U47" s="2"/>
      <c r="V47" s="19">
        <f t="shared" si="16"/>
        <v>2.1230123154166442E-5</v>
      </c>
      <c r="W47" s="2"/>
      <c r="X47" s="2">
        <f t="shared" si="17"/>
        <v>-24.12</v>
      </c>
      <c r="Y47" s="2"/>
      <c r="Z47" s="19">
        <f t="shared" si="18"/>
        <v>-1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107</v>
      </c>
      <c r="C49" s="26"/>
      <c r="D49" s="22">
        <f>D12-D35</f>
        <v>-1271.9599999999919</v>
      </c>
      <c r="E49" s="13"/>
      <c r="F49" s="20">
        <f>IF(D$12=0,0,D49/D$12)</f>
        <v>-1.0012292995039366E-2</v>
      </c>
      <c r="G49" s="13"/>
      <c r="H49" s="22">
        <f>H12-H35</f>
        <v>16113.800000000047</v>
      </c>
      <c r="I49" s="13"/>
      <c r="J49" s="20">
        <f>IF(H$12=0,0,H49/H$12)</f>
        <v>9.3231302592966553E-2</v>
      </c>
      <c r="K49" s="15"/>
      <c r="L49" s="22">
        <f>+D49-H49</f>
        <v>-17385.760000000038</v>
      </c>
      <c r="M49" s="15"/>
      <c r="N49" s="20">
        <f>IF(H49=0,0,L49/H49)</f>
        <v>-1.0789360672218835</v>
      </c>
      <c r="O49" s="25"/>
      <c r="P49" s="22">
        <f>P12-P35</f>
        <v>120845.37000000011</v>
      </c>
      <c r="Q49" s="13"/>
      <c r="R49" s="20">
        <f>IF(P$12=0,0,P49/P$12)</f>
        <v>0.16317672273252007</v>
      </c>
      <c r="S49" s="13"/>
      <c r="T49" s="22">
        <f>T12-T35</f>
        <v>54846.530000000028</v>
      </c>
      <c r="U49" s="13"/>
      <c r="V49" s="20">
        <f>IF(T$12=0,0,T49/T$12)</f>
        <v>4.827523161188578E-2</v>
      </c>
      <c r="W49" s="15"/>
      <c r="X49" s="22">
        <f>+P49-T49</f>
        <v>65998.840000000084</v>
      </c>
      <c r="Y49" s="15"/>
      <c r="Z49" s="20">
        <f>IF(T49=0,0,X49/T49)</f>
        <v>1.2033366559379426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294</v>
      </c>
      <c r="C51" s="10"/>
      <c r="D51" s="21">
        <f>SUM(OSRRefD22x_0)</f>
        <v>15889.1</v>
      </c>
      <c r="E51" s="21"/>
      <c r="F51" s="36">
        <f t="shared" ref="F51:F61" si="19">IF(D$12=0,0,D51/D$12)</f>
        <v>0.12507179834859666</v>
      </c>
      <c r="G51" s="21"/>
      <c r="H51" s="21">
        <f>SUM(OSRRefH22x_0)</f>
        <v>14663.089999999998</v>
      </c>
      <c r="I51" s="21"/>
      <c r="J51" s="36">
        <f t="shared" ref="J51:J61" si="20">IF(H$12=0,0,H51/H$12)</f>
        <v>8.4837777602917858E-2</v>
      </c>
      <c r="K51" s="4"/>
      <c r="L51" s="21">
        <f t="shared" ref="L51:L61" si="21">+D51-H51</f>
        <v>1226.010000000002</v>
      </c>
      <c r="M51" s="4"/>
      <c r="N51" s="36">
        <f t="shared" ref="N51:N61" si="22">IF(H51=0,0,L51/H51)</f>
        <v>8.3611980830780017E-2</v>
      </c>
      <c r="O51" s="10"/>
      <c r="P51" s="21">
        <f>SUM(OSRRefP22x_0)</f>
        <v>59025.150000000009</v>
      </c>
      <c r="Q51" s="21"/>
      <c r="R51" s="36">
        <f t="shared" ref="R51:R61" si="23">IF(P$12=0,0,P51/P$12)</f>
        <v>7.9701278880567786E-2</v>
      </c>
      <c r="S51" s="21"/>
      <c r="T51" s="21">
        <f>SUM(OSRRefT22x_0)</f>
        <v>53904.79</v>
      </c>
      <c r="U51" s="21"/>
      <c r="V51" s="36">
        <f t="shared" ref="V51:V61" si="24">IF(T$12=0,0,T51/T$12)</f>
        <v>4.7446323810094518E-2</v>
      </c>
      <c r="W51" s="4"/>
      <c r="X51" s="21">
        <f t="shared" ref="X51:X61" si="25">+P51-T51</f>
        <v>5120.3600000000079</v>
      </c>
      <c r="Y51" s="4"/>
      <c r="Z51" s="36">
        <f t="shared" ref="Z51:Z61" si="26">IF(T51=0,0,X51/T51)</f>
        <v>9.4988961092326074E-2</v>
      </c>
    </row>
    <row r="52" spans="1:26" s="28" customFormat="1" outlineLevel="1" collapsed="1" x14ac:dyDescent="0.25">
      <c r="A52" s="27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1906.2399999999998</v>
      </c>
      <c r="E52" s="1"/>
      <c r="F52" s="5">
        <f t="shared" si="19"/>
        <v>1.5005057862561684E-2</v>
      </c>
      <c r="G52" s="1"/>
      <c r="H52" s="1">
        <f>SUM(OSRRefH22_0x_0)</f>
        <v>3471.1499999999996</v>
      </c>
      <c r="I52" s="1"/>
      <c r="J52" s="5">
        <f t="shared" si="20"/>
        <v>2.0083396591466626E-2</v>
      </c>
      <c r="K52" s="1"/>
      <c r="L52" s="1">
        <f t="shared" si="21"/>
        <v>-1564.9099999999999</v>
      </c>
      <c r="M52" s="1"/>
      <c r="N52" s="5">
        <f t="shared" si="22"/>
        <v>-0.45083329732221311</v>
      </c>
      <c r="O52" s="14"/>
      <c r="P52" s="1">
        <f>SUM(OSRRefP22_0x_0)</f>
        <v>6565.61</v>
      </c>
      <c r="Q52" s="1"/>
      <c r="R52" s="5">
        <f t="shared" si="23"/>
        <v>8.8655007845137961E-3</v>
      </c>
      <c r="S52" s="1"/>
      <c r="T52" s="1">
        <f>SUM(OSRRefT22_0x_0)</f>
        <v>11959.910000000002</v>
      </c>
      <c r="U52" s="1"/>
      <c r="V52" s="5">
        <f t="shared" si="24"/>
        <v>1.0526963607493649E-2</v>
      </c>
      <c r="W52" s="1"/>
      <c r="X52" s="1">
        <f t="shared" si="25"/>
        <v>-5394.300000000002</v>
      </c>
      <c r="Y52" s="1"/>
      <c r="Z52" s="5">
        <f t="shared" si="26"/>
        <v>-0.45103182214581894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6">
        <v>724.92</v>
      </c>
      <c r="E53" s="2"/>
      <c r="F53" s="7">
        <f t="shared" si="19"/>
        <v>5.7062418927985026E-3</v>
      </c>
      <c r="G53" s="2"/>
      <c r="H53" s="6">
        <v>929.65</v>
      </c>
      <c r="I53" s="2"/>
      <c r="J53" s="7">
        <f t="shared" si="20"/>
        <v>5.3787735019394005E-3</v>
      </c>
      <c r="K53" s="2"/>
      <c r="L53" s="6">
        <f t="shared" si="21"/>
        <v>-204.73000000000002</v>
      </c>
      <c r="M53" s="2"/>
      <c r="N53" s="7">
        <f t="shared" si="22"/>
        <v>-0.22022266444360783</v>
      </c>
      <c r="O53" s="11"/>
      <c r="P53" s="6">
        <v>2334.02</v>
      </c>
      <c r="Q53" s="2"/>
      <c r="R53" s="7">
        <f t="shared" si="23"/>
        <v>3.1516121336891611E-3</v>
      </c>
      <c r="S53" s="2"/>
      <c r="T53" s="6">
        <v>2499.0100000000002</v>
      </c>
      <c r="U53" s="2"/>
      <c r="V53" s="7">
        <f t="shared" si="24"/>
        <v>2.199597432151471E-3</v>
      </c>
      <c r="W53" s="2"/>
      <c r="X53" s="6">
        <f t="shared" si="25"/>
        <v>-164.99000000000024</v>
      </c>
      <c r="Y53" s="2"/>
      <c r="Z53" s="7">
        <f t="shared" si="26"/>
        <v>-6.6022144769328744E-2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6">
        <v>184.01</v>
      </c>
      <c r="E54" s="2"/>
      <c r="F54" s="7">
        <f t="shared" si="19"/>
        <v>1.4484433740189985E-3</v>
      </c>
      <c r="G54" s="2"/>
      <c r="H54" s="6">
        <v>156.43</v>
      </c>
      <c r="I54" s="2"/>
      <c r="J54" s="7">
        <f t="shared" si="20"/>
        <v>9.0507345657869136E-4</v>
      </c>
      <c r="K54" s="2"/>
      <c r="L54" s="6">
        <f t="shared" si="21"/>
        <v>27.579999999999984</v>
      </c>
      <c r="M54" s="2"/>
      <c r="N54" s="7">
        <f t="shared" si="22"/>
        <v>0.17630889215623591</v>
      </c>
      <c r="O54" s="11"/>
      <c r="P54" s="6">
        <v>609.96</v>
      </c>
      <c r="Q54" s="2"/>
      <c r="R54" s="7">
        <f t="shared" si="23"/>
        <v>8.2362504908485817E-4</v>
      </c>
      <c r="S54" s="2"/>
      <c r="T54" s="6">
        <v>468.93</v>
      </c>
      <c r="U54" s="2"/>
      <c r="V54" s="7">
        <f t="shared" si="24"/>
        <v>4.1274633709300457E-4</v>
      </c>
      <c r="W54" s="2"/>
      <c r="X54" s="6">
        <f t="shared" si="25"/>
        <v>141.03000000000003</v>
      </c>
      <c r="Y54" s="2"/>
      <c r="Z54" s="7">
        <f t="shared" si="26"/>
        <v>0.30074851257117274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6">
        <v>853.84</v>
      </c>
      <c r="E55" s="2"/>
      <c r="F55" s="7">
        <f t="shared" si="19"/>
        <v>6.7210417394292796E-3</v>
      </c>
      <c r="G55" s="2"/>
      <c r="H55" s="6">
        <v>1035.69</v>
      </c>
      <c r="I55" s="2"/>
      <c r="J55" s="7">
        <f t="shared" si="20"/>
        <v>5.992300250872498E-3</v>
      </c>
      <c r="K55" s="2"/>
      <c r="L55" s="6">
        <f t="shared" si="21"/>
        <v>-181.85000000000002</v>
      </c>
      <c r="M55" s="2"/>
      <c r="N55" s="7">
        <f t="shared" si="22"/>
        <v>-0.1755834274734718</v>
      </c>
      <c r="O55" s="11"/>
      <c r="P55" s="6">
        <v>2042.73</v>
      </c>
      <c r="Q55" s="2"/>
      <c r="R55" s="7">
        <f t="shared" si="23"/>
        <v>2.7582851277413475E-3</v>
      </c>
      <c r="S55" s="2"/>
      <c r="T55" s="6">
        <v>4142.76</v>
      </c>
      <c r="U55" s="2"/>
      <c r="V55" s="7">
        <f t="shared" si="24"/>
        <v>3.6464056798571551E-3</v>
      </c>
      <c r="W55" s="2"/>
      <c r="X55" s="6">
        <f t="shared" si="25"/>
        <v>-2100.0300000000002</v>
      </c>
      <c r="Y55" s="2"/>
      <c r="Z55" s="7">
        <f t="shared" si="26"/>
        <v>-0.50691567940213778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6">
        <v>32.33</v>
      </c>
      <c r="E56" s="2"/>
      <c r="F56" s="7">
        <f t="shared" si="19"/>
        <v>2.544871163634271E-4</v>
      </c>
      <c r="G56" s="2"/>
      <c r="H56" s="6">
        <v>21.98</v>
      </c>
      <c r="I56" s="2"/>
      <c r="J56" s="7">
        <f t="shared" si="20"/>
        <v>1.2717199115003282E-4</v>
      </c>
      <c r="K56" s="2"/>
      <c r="L56" s="6">
        <f t="shared" si="21"/>
        <v>10.349999999999998</v>
      </c>
      <c r="M56" s="2"/>
      <c r="N56" s="7">
        <f t="shared" si="22"/>
        <v>0.47088262056414915</v>
      </c>
      <c r="O56" s="11"/>
      <c r="P56" s="6">
        <v>107.16</v>
      </c>
      <c r="Q56" s="2"/>
      <c r="R56" s="7">
        <f t="shared" si="23"/>
        <v>1.4469745599700537E-4</v>
      </c>
      <c r="S56" s="2"/>
      <c r="T56" s="6">
        <v>80.599999999999994</v>
      </c>
      <c r="U56" s="2"/>
      <c r="V56" s="7">
        <f t="shared" si="24"/>
        <v>7.0943114685979072E-5</v>
      </c>
      <c r="W56" s="2"/>
      <c r="X56" s="6">
        <f t="shared" si="25"/>
        <v>26.560000000000002</v>
      </c>
      <c r="Y56" s="2"/>
      <c r="Z56" s="7">
        <f t="shared" si="26"/>
        <v>0.32952853598014892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6">
        <v>148.88</v>
      </c>
      <c r="E57" s="2"/>
      <c r="F57" s="7">
        <f t="shared" si="19"/>
        <v>1.171915925895052E-3</v>
      </c>
      <c r="G57" s="2"/>
      <c r="H57" s="6">
        <v>176.42</v>
      </c>
      <c r="I57" s="2"/>
      <c r="J57" s="7">
        <f t="shared" si="20"/>
        <v>1.0207316960276975E-3</v>
      </c>
      <c r="K57" s="2"/>
      <c r="L57" s="6">
        <f t="shared" si="21"/>
        <v>-27.539999999999992</v>
      </c>
      <c r="M57" s="2"/>
      <c r="N57" s="7">
        <f t="shared" si="22"/>
        <v>-0.15610475002834143</v>
      </c>
      <c r="O57" s="11"/>
      <c r="P57" s="6">
        <v>481.28</v>
      </c>
      <c r="Q57" s="2"/>
      <c r="R57" s="7">
        <f t="shared" si="23"/>
        <v>6.4986927605672584E-4</v>
      </c>
      <c r="S57" s="2"/>
      <c r="T57" s="6">
        <v>793.89</v>
      </c>
      <c r="U57" s="2"/>
      <c r="V57" s="7">
        <f t="shared" si="24"/>
        <v>6.9877207590635147E-4</v>
      </c>
      <c r="W57" s="2"/>
      <c r="X57" s="6">
        <f t="shared" si="25"/>
        <v>-312.61</v>
      </c>
      <c r="Y57" s="2"/>
      <c r="Z57" s="7">
        <f t="shared" si="26"/>
        <v>-0.39376991774679115</v>
      </c>
    </row>
    <row r="58" spans="1:26" s="24" customFormat="1" hidden="1" outlineLevel="2" x14ac:dyDescent="0.25">
      <c r="A58" s="29"/>
      <c r="B58" s="11" t="str">
        <f>CONCATENATE("          ", "6117", " - ", "RETIREMENT STAFF HOURLY")</f>
        <v xml:space="preserve">          6117 - RETIREMENT STAFF HOURLY</v>
      </c>
      <c r="C58" s="11"/>
      <c r="D58" s="6">
        <v>-940.04</v>
      </c>
      <c r="E58" s="2"/>
      <c r="F58" s="7">
        <f t="shared" si="19"/>
        <v>-7.3995690957709874E-3</v>
      </c>
      <c r="G58" s="2"/>
      <c r="H58" s="6">
        <v>155.75</v>
      </c>
      <c r="I58" s="2"/>
      <c r="J58" s="7">
        <f t="shared" si="20"/>
        <v>9.0113910926376765E-4</v>
      </c>
      <c r="K58" s="2"/>
      <c r="L58" s="6">
        <f t="shared" si="21"/>
        <v>-1095.79</v>
      </c>
      <c r="M58" s="2"/>
      <c r="N58" s="7">
        <f t="shared" si="22"/>
        <v>-7.0355698234349919</v>
      </c>
      <c r="O58" s="11"/>
      <c r="P58" s="6">
        <v>-657.34</v>
      </c>
      <c r="Q58" s="2"/>
      <c r="R58" s="7">
        <f t="shared" si="23"/>
        <v>-8.8760195712086153E-4</v>
      </c>
      <c r="S58" s="2"/>
      <c r="T58" s="6">
        <v>779.56</v>
      </c>
      <c r="U58" s="2"/>
      <c r="V58" s="7">
        <f t="shared" si="24"/>
        <v>6.8615898864270272E-4</v>
      </c>
      <c r="W58" s="2"/>
      <c r="X58" s="6">
        <f t="shared" si="25"/>
        <v>-1436.9</v>
      </c>
      <c r="Y58" s="2"/>
      <c r="Z58" s="7">
        <f t="shared" si="26"/>
        <v>-1.8432192518856794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6">
        <v>313.04000000000002</v>
      </c>
      <c r="E59" s="2"/>
      <c r="F59" s="7">
        <f t="shared" si="19"/>
        <v>2.4641090908260818E-3</v>
      </c>
      <c r="G59" s="2"/>
      <c r="H59" s="6">
        <v>386.7</v>
      </c>
      <c r="I59" s="2"/>
      <c r="J59" s="7">
        <f t="shared" si="20"/>
        <v>2.2373707451190943E-3</v>
      </c>
      <c r="K59" s="2"/>
      <c r="L59" s="6">
        <f t="shared" si="21"/>
        <v>-73.659999999999968</v>
      </c>
      <c r="M59" s="2"/>
      <c r="N59" s="7">
        <f t="shared" si="22"/>
        <v>-0.19048357900181012</v>
      </c>
      <c r="O59" s="11"/>
      <c r="P59" s="6">
        <v>565.6</v>
      </c>
      <c r="Q59" s="2"/>
      <c r="R59" s="7">
        <f t="shared" si="23"/>
        <v>7.6372602754671746E-4</v>
      </c>
      <c r="S59" s="2"/>
      <c r="T59" s="6">
        <v>1160.0999999999999</v>
      </c>
      <c r="U59" s="2"/>
      <c r="V59" s="7">
        <f t="shared" si="24"/>
        <v>1.0211055502134532E-3</v>
      </c>
      <c r="W59" s="2"/>
      <c r="X59" s="6">
        <f t="shared" si="25"/>
        <v>-594.49999999999989</v>
      </c>
      <c r="Y59" s="2"/>
      <c r="Z59" s="7">
        <f t="shared" si="26"/>
        <v>-0.51245582277389878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6">
        <v>311.87</v>
      </c>
      <c r="E60" s="2"/>
      <c r="F60" s="7">
        <f t="shared" si="19"/>
        <v>2.4548993807690074E-3</v>
      </c>
      <c r="G60" s="2"/>
      <c r="H60" s="6">
        <v>384.85</v>
      </c>
      <c r="I60" s="2"/>
      <c r="J60" s="7">
        <f t="shared" si="20"/>
        <v>2.2266670061005522E-3</v>
      </c>
      <c r="K60" s="2"/>
      <c r="L60" s="6">
        <f t="shared" si="21"/>
        <v>-72.980000000000018</v>
      </c>
      <c r="M60" s="2"/>
      <c r="N60" s="7">
        <f t="shared" si="22"/>
        <v>-0.1896323242821879</v>
      </c>
      <c r="O60" s="11"/>
      <c r="P60" s="6">
        <v>614.45000000000005</v>
      </c>
      <c r="Q60" s="2"/>
      <c r="R60" s="7">
        <f t="shared" si="23"/>
        <v>8.296878670899586E-4</v>
      </c>
      <c r="S60" s="2"/>
      <c r="T60" s="6">
        <v>1154.56</v>
      </c>
      <c r="U60" s="2"/>
      <c r="V60" s="7">
        <f t="shared" si="24"/>
        <v>1.0162293113132009E-3</v>
      </c>
      <c r="W60" s="2"/>
      <c r="X60" s="6">
        <f t="shared" si="25"/>
        <v>-540.1099999999999</v>
      </c>
      <c r="Y60" s="2"/>
      <c r="Z60" s="7">
        <f t="shared" si="26"/>
        <v>-0.46780591740576488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6">
        <v>277.39</v>
      </c>
      <c r="E61" s="2"/>
      <c r="F61" s="7">
        <f t="shared" si="19"/>
        <v>2.1834884382323245E-3</v>
      </c>
      <c r="G61" s="2"/>
      <c r="H61" s="6">
        <v>223.68</v>
      </c>
      <c r="I61" s="2"/>
      <c r="J61" s="7">
        <f t="shared" si="20"/>
        <v>1.2941688344148929E-3</v>
      </c>
      <c r="K61" s="2"/>
      <c r="L61" s="6">
        <f t="shared" si="21"/>
        <v>53.70999999999998</v>
      </c>
      <c r="M61" s="2"/>
      <c r="N61" s="7">
        <f t="shared" si="22"/>
        <v>0.24011981402002852</v>
      </c>
      <c r="O61" s="11"/>
      <c r="P61" s="6">
        <v>467.75</v>
      </c>
      <c r="Q61" s="2"/>
      <c r="R61" s="7">
        <f t="shared" si="23"/>
        <v>6.3159980442888456E-4</v>
      </c>
      <c r="S61" s="2"/>
      <c r="T61" s="6">
        <v>880.5</v>
      </c>
      <c r="U61" s="2"/>
      <c r="V61" s="7">
        <f t="shared" si="24"/>
        <v>7.7500511763032968E-4</v>
      </c>
      <c r="W61" s="2"/>
      <c r="X61" s="6">
        <f t="shared" si="25"/>
        <v>-412.75</v>
      </c>
      <c r="Y61" s="2"/>
      <c r="Z61" s="7">
        <f t="shared" si="26"/>
        <v>-0.4687677455990914</v>
      </c>
    </row>
    <row r="62" spans="1:26" s="28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12737.43</v>
      </c>
      <c r="E62" s="1"/>
      <c r="F62" s="5">
        <f t="shared" ref="F62:F67" si="27">IF(D$12=0,0,D62/D$12)</f>
        <v>0.10026327963442647</v>
      </c>
      <c r="G62" s="1"/>
      <c r="H62" s="1">
        <f>SUM(OSRRefH22_1x_0)</f>
        <v>8904.4</v>
      </c>
      <c r="I62" s="1"/>
      <c r="J62" s="5">
        <f t="shared" ref="J62:J67" si="28">IF(H$12=0,0,H62/H$12)</f>
        <v>5.151912092795051E-2</v>
      </c>
      <c r="K62" s="1"/>
      <c r="L62" s="1">
        <f t="shared" ref="L62:L67" si="29">+D62-H62</f>
        <v>3833.0300000000007</v>
      </c>
      <c r="M62" s="1"/>
      <c r="N62" s="5">
        <f t="shared" ref="N62:N67" si="30">IF(H62=0,0,L62/H62)</f>
        <v>0.43046471407394105</v>
      </c>
      <c r="O62" s="14"/>
      <c r="P62" s="1">
        <f>SUM(OSRRefP22_1x_0)</f>
        <v>42365.89</v>
      </c>
      <c r="Q62" s="1"/>
      <c r="R62" s="5">
        <f t="shared" ref="R62:R67" si="31">IF(P$12=0,0,P62/P$12)</f>
        <v>5.7206387682427869E-2</v>
      </c>
      <c r="S62" s="1"/>
      <c r="T62" s="1">
        <f>SUM(OSRRefT22_1x_0)</f>
        <v>32163.57</v>
      </c>
      <c r="U62" s="1"/>
      <c r="V62" s="5">
        <f t="shared" ref="V62:V67" si="32">IF(T$12=0,0,T62/T$12)</f>
        <v>2.8309973141693746E-2</v>
      </c>
      <c r="W62" s="1"/>
      <c r="X62" s="1">
        <f t="shared" ref="X62:X67" si="33">+P62-T62</f>
        <v>10202.32</v>
      </c>
      <c r="Y62" s="1"/>
      <c r="Z62" s="5">
        <f t="shared" ref="Z62:Z67" si="34">IF(T62=0,0,X62/T62)</f>
        <v>0.31720110671794205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6">
        <v>1634.62</v>
      </c>
      <c r="E63" s="2"/>
      <c r="F63" s="7">
        <f t="shared" si="27"/>
        <v>1.2866988250850146E-2</v>
      </c>
      <c r="G63" s="2"/>
      <c r="H63" s="6">
        <v>2395.9899999999998</v>
      </c>
      <c r="I63" s="2"/>
      <c r="J63" s="7">
        <f t="shared" si="28"/>
        <v>1.3862730622182308E-2</v>
      </c>
      <c r="K63" s="2"/>
      <c r="L63" s="6">
        <f t="shared" si="29"/>
        <v>-761.36999999999989</v>
      </c>
      <c r="M63" s="2"/>
      <c r="N63" s="7">
        <f t="shared" si="30"/>
        <v>-0.31776843809865651</v>
      </c>
      <c r="O63" s="11"/>
      <c r="P63" s="6">
        <v>9036.94</v>
      </c>
      <c r="Q63" s="2"/>
      <c r="R63" s="7">
        <f t="shared" si="31"/>
        <v>1.2202521724501474E-2</v>
      </c>
      <c r="S63" s="2"/>
      <c r="T63" s="6">
        <v>9357.43</v>
      </c>
      <c r="U63" s="2"/>
      <c r="V63" s="7">
        <f t="shared" si="32"/>
        <v>8.2362931719109321E-3</v>
      </c>
      <c r="W63" s="2"/>
      <c r="X63" s="6">
        <f t="shared" si="33"/>
        <v>-320.48999999999978</v>
      </c>
      <c r="Y63" s="2"/>
      <c r="Z63" s="7">
        <f t="shared" si="34"/>
        <v>-3.4249788670607184E-2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6">
        <v>5152.08</v>
      </c>
      <c r="E64" s="2"/>
      <c r="F64" s="7">
        <f t="shared" si="27"/>
        <v>4.0554840163120491E-2</v>
      </c>
      <c r="G64" s="2"/>
      <c r="H64" s="6">
        <v>3871.43</v>
      </c>
      <c r="I64" s="2"/>
      <c r="J64" s="7">
        <f t="shared" si="28"/>
        <v>2.2399338566786695E-2</v>
      </c>
      <c r="K64" s="2"/>
      <c r="L64" s="6">
        <f t="shared" si="29"/>
        <v>1280.6500000000001</v>
      </c>
      <c r="M64" s="2"/>
      <c r="N64" s="7">
        <f t="shared" si="30"/>
        <v>0.33079508088742404</v>
      </c>
      <c r="O64" s="11"/>
      <c r="P64" s="6">
        <v>10762.11</v>
      </c>
      <c r="Q64" s="2"/>
      <c r="R64" s="7">
        <f t="shared" si="31"/>
        <v>1.4532007634937772E-2</v>
      </c>
      <c r="S64" s="2"/>
      <c r="T64" s="6">
        <v>14420.64</v>
      </c>
      <c r="U64" s="2"/>
      <c r="V64" s="7">
        <f t="shared" si="32"/>
        <v>1.2692867461106913E-2</v>
      </c>
      <c r="W64" s="2"/>
      <c r="X64" s="6">
        <f t="shared" si="33"/>
        <v>-3658.5299999999988</v>
      </c>
      <c r="Y64" s="2"/>
      <c r="Z64" s="7">
        <f t="shared" si="34"/>
        <v>-0.25370094531171977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6">
        <v>2493.6</v>
      </c>
      <c r="E65" s="2"/>
      <c r="F65" s="7">
        <f t="shared" si="27"/>
        <v>1.9628489742154094E-2</v>
      </c>
      <c r="G65" s="2"/>
      <c r="H65" s="6"/>
      <c r="I65" s="2"/>
      <c r="J65" s="7">
        <f t="shared" si="28"/>
        <v>0</v>
      </c>
      <c r="K65" s="2"/>
      <c r="L65" s="6">
        <f t="shared" si="29"/>
        <v>2493.6</v>
      </c>
      <c r="M65" s="2"/>
      <c r="N65" s="7">
        <f t="shared" si="30"/>
        <v>0</v>
      </c>
      <c r="O65" s="11"/>
      <c r="P65" s="6">
        <v>3918.88</v>
      </c>
      <c r="Q65" s="2"/>
      <c r="R65" s="7">
        <f t="shared" si="31"/>
        <v>5.2916383571999298E-3</v>
      </c>
      <c r="S65" s="2"/>
      <c r="T65" s="6"/>
      <c r="U65" s="2"/>
      <c r="V65" s="7">
        <f t="shared" si="32"/>
        <v>0</v>
      </c>
      <c r="W65" s="2"/>
      <c r="X65" s="6">
        <f t="shared" si="33"/>
        <v>3918.88</v>
      </c>
      <c r="Y65" s="2"/>
      <c r="Z65" s="7">
        <f t="shared" si="34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6">
        <v>1733.5</v>
      </c>
      <c r="E66" s="2"/>
      <c r="F66" s="7">
        <f t="shared" si="27"/>
        <v>1.3645326823878779E-2</v>
      </c>
      <c r="G66" s="2"/>
      <c r="H66" s="6">
        <v>2636.98</v>
      </c>
      <c r="I66" s="2"/>
      <c r="J66" s="7">
        <f t="shared" si="28"/>
        <v>1.5257051738981509E-2</v>
      </c>
      <c r="K66" s="2"/>
      <c r="L66" s="6">
        <f t="shared" si="29"/>
        <v>-903.48</v>
      </c>
      <c r="M66" s="2"/>
      <c r="N66" s="7">
        <f t="shared" si="30"/>
        <v>-0.34261920833680953</v>
      </c>
      <c r="O66" s="11"/>
      <c r="P66" s="6">
        <v>14630.26</v>
      </c>
      <c r="Q66" s="2"/>
      <c r="R66" s="7">
        <f t="shared" si="31"/>
        <v>1.9755145600734863E-2</v>
      </c>
      <c r="S66" s="2"/>
      <c r="T66" s="6">
        <v>8385.5</v>
      </c>
      <c r="U66" s="2"/>
      <c r="V66" s="7">
        <f t="shared" si="32"/>
        <v>7.3808125086758996E-3</v>
      </c>
      <c r="W66" s="2"/>
      <c r="X66" s="6">
        <f t="shared" si="33"/>
        <v>6244.76</v>
      </c>
      <c r="Y66" s="2"/>
      <c r="Z66" s="7">
        <f t="shared" si="34"/>
        <v>0.74470931965893505</v>
      </c>
    </row>
    <row r="67" spans="1:26" s="24" customFormat="1" hidden="1" outlineLevel="2" x14ac:dyDescent="0.25">
      <c r="A67" s="29"/>
      <c r="B67" s="11" t="str">
        <f>CONCATENATE("          ", "6008", " - ", "STUDENT HOURLY-FICA EXEMPT")</f>
        <v xml:space="preserve">          6008 - STUDENT HOURLY-FICA EXEMPT</v>
      </c>
      <c r="C67" s="11"/>
      <c r="D67" s="6">
        <v>1723.63</v>
      </c>
      <c r="E67" s="2"/>
      <c r="F67" s="7">
        <f t="shared" si="27"/>
        <v>1.3567634654422948E-2</v>
      </c>
      <c r="G67" s="2"/>
      <c r="H67" s="6"/>
      <c r="I67" s="2"/>
      <c r="J67" s="7">
        <f t="shared" si="28"/>
        <v>0</v>
      </c>
      <c r="K67" s="2"/>
      <c r="L67" s="6">
        <f t="shared" si="29"/>
        <v>1723.63</v>
      </c>
      <c r="M67" s="2"/>
      <c r="N67" s="7">
        <f t="shared" si="30"/>
        <v>0</v>
      </c>
      <c r="O67" s="11"/>
      <c r="P67" s="6">
        <v>4017.7</v>
      </c>
      <c r="Q67" s="2"/>
      <c r="R67" s="7">
        <f t="shared" si="31"/>
        <v>5.4250743650538303E-3</v>
      </c>
      <c r="S67" s="2"/>
      <c r="T67" s="6"/>
      <c r="U67" s="2"/>
      <c r="V67" s="7">
        <f t="shared" si="32"/>
        <v>0</v>
      </c>
      <c r="W67" s="2"/>
      <c r="X67" s="6">
        <f t="shared" si="33"/>
        <v>4017.7</v>
      </c>
      <c r="Y67" s="2"/>
      <c r="Z67" s="7">
        <f t="shared" si="34"/>
        <v>0</v>
      </c>
    </row>
    <row r="68" spans="1:26" s="28" customFormat="1" outlineLevel="1" collapsed="1" x14ac:dyDescent="0.25">
      <c r="A68" s="27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6.62</v>
      </c>
      <c r="E68" s="1"/>
      <c r="F68" s="5">
        <f t="shared" ref="F68:F76" si="35">IF(D$12=0,0,D68/D$12)</f>
        <v>5.2109641519513996E-5</v>
      </c>
      <c r="G68" s="1"/>
      <c r="H68" s="1">
        <f>SUM(OSRRefH22_2x_0)</f>
        <v>0</v>
      </c>
      <c r="I68" s="1"/>
      <c r="J68" s="5">
        <f t="shared" ref="J68:J76" si="36">IF(H$12=0,0,H68/H$12)</f>
        <v>0</v>
      </c>
      <c r="K68" s="1"/>
      <c r="L68" s="1">
        <f t="shared" ref="L68:L76" si="37">+D68-H68</f>
        <v>6.62</v>
      </c>
      <c r="M68" s="1"/>
      <c r="N68" s="5">
        <f t="shared" ref="N68:N76" si="38">IF(H68=0,0,L68/H68)</f>
        <v>0</v>
      </c>
      <c r="O68" s="14"/>
      <c r="P68" s="1">
        <f>SUM(OSRRefP22_2x_0)</f>
        <v>111.51</v>
      </c>
      <c r="Q68" s="1"/>
      <c r="R68" s="5">
        <f t="shared" ref="R68:R76" si="39">IF(P$12=0,0,P68/P$12)</f>
        <v>1.5057123290617834E-4</v>
      </c>
      <c r="S68" s="1"/>
      <c r="T68" s="1">
        <f>SUM(OSRRefT22_2x_0)</f>
        <v>248.88</v>
      </c>
      <c r="U68" s="1"/>
      <c r="V68" s="5">
        <f t="shared" ref="V68:V76" si="40">IF(T$12=0,0,T68/T$12)</f>
        <v>2.1906107174995623E-4</v>
      </c>
      <c r="W68" s="1"/>
      <c r="X68" s="1">
        <f t="shared" ref="X68:X76" si="41">+P68-T68</f>
        <v>-137.37</v>
      </c>
      <c r="Y68" s="1"/>
      <c r="Z68" s="5">
        <f t="shared" ref="Z68:Z76" si="42">IF(T68=0,0,X68/T68)</f>
        <v>-0.55195274831243979</v>
      </c>
    </row>
    <row r="69" spans="1:26" s="24" customFormat="1" hidden="1" outlineLevel="2" x14ac:dyDescent="0.25">
      <c r="A69" s="29"/>
      <c r="B69" s="11" t="str">
        <f>CONCATENATE("          ", "6362", " - ", "ADVERTISING EXPENSE")</f>
        <v xml:space="preserve">          6362 - ADVERTISING EXPENSE</v>
      </c>
      <c r="C69" s="11"/>
      <c r="D69" s="6">
        <v>6.62</v>
      </c>
      <c r="E69" s="2"/>
      <c r="F69" s="7">
        <f t="shared" si="35"/>
        <v>5.2109641519513996E-5</v>
      </c>
      <c r="G69" s="2"/>
      <c r="H69" s="6"/>
      <c r="I69" s="2"/>
      <c r="J69" s="7">
        <f t="shared" si="36"/>
        <v>0</v>
      </c>
      <c r="K69" s="2"/>
      <c r="L69" s="6">
        <f t="shared" si="37"/>
        <v>6.62</v>
      </c>
      <c r="M69" s="2"/>
      <c r="N69" s="7">
        <f t="shared" si="38"/>
        <v>0</v>
      </c>
      <c r="O69" s="11"/>
      <c r="P69" s="6">
        <v>111.51</v>
      </c>
      <c r="Q69" s="2"/>
      <c r="R69" s="7">
        <f t="shared" si="39"/>
        <v>1.5057123290617834E-4</v>
      </c>
      <c r="S69" s="2"/>
      <c r="T69" s="6">
        <v>248.88</v>
      </c>
      <c r="U69" s="2"/>
      <c r="V69" s="7">
        <f t="shared" si="40"/>
        <v>2.1906107174995623E-4</v>
      </c>
      <c r="W69" s="2"/>
      <c r="X69" s="6">
        <f t="shared" si="41"/>
        <v>-137.37</v>
      </c>
      <c r="Y69" s="2"/>
      <c r="Z69" s="7">
        <f t="shared" si="42"/>
        <v>-0.55195274831243979</v>
      </c>
    </row>
    <row r="70" spans="1:26" s="28" customFormat="1" outlineLevel="1" collapsed="1" x14ac:dyDescent="0.25">
      <c r="A70" s="27"/>
      <c r="B70" s="14" t="str">
        <f>CONCATENATE("     ","Depreciation                                      ")</f>
        <v xml:space="preserve">     Depreciation                                      </v>
      </c>
      <c r="C70" s="14"/>
      <c r="D70" s="1">
        <f>SUM(OSRRefD22_3x_0)</f>
        <v>280.44</v>
      </c>
      <c r="E70" s="1"/>
      <c r="F70" s="5">
        <f t="shared" si="35"/>
        <v>2.2074966567571762E-3</v>
      </c>
      <c r="G70" s="1"/>
      <c r="H70" s="1">
        <f>SUM(OSRRefH22_3x_0)</f>
        <v>280.44</v>
      </c>
      <c r="I70" s="1"/>
      <c r="J70" s="5">
        <f t="shared" si="36"/>
        <v>1.6225711191135217E-3</v>
      </c>
      <c r="K70" s="1"/>
      <c r="L70" s="1">
        <f t="shared" si="37"/>
        <v>0</v>
      </c>
      <c r="M70" s="1"/>
      <c r="N70" s="5">
        <f t="shared" si="38"/>
        <v>0</v>
      </c>
      <c r="O70" s="14"/>
      <c r="P70" s="1">
        <f>SUM(OSRRefP22_3x_0)</f>
        <v>1121.76</v>
      </c>
      <c r="Q70" s="1"/>
      <c r="R70" s="5">
        <f t="shared" si="39"/>
        <v>1.5147052840537585E-3</v>
      </c>
      <c r="S70" s="1"/>
      <c r="T70" s="1">
        <f>SUM(OSRRefT22_3x_0)</f>
        <v>1121.76</v>
      </c>
      <c r="U70" s="1"/>
      <c r="V70" s="5">
        <f t="shared" si="40"/>
        <v>9.8735916042362137E-4</v>
      </c>
      <c r="W70" s="1"/>
      <c r="X70" s="1">
        <f t="shared" si="41"/>
        <v>0</v>
      </c>
      <c r="Y70" s="1"/>
      <c r="Z70" s="5">
        <f t="shared" si="42"/>
        <v>0</v>
      </c>
    </row>
    <row r="71" spans="1:26" s="24" customFormat="1" hidden="1" outlineLevel="2" x14ac:dyDescent="0.25">
      <c r="A71" s="29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280.44</v>
      </c>
      <c r="E71" s="2"/>
      <c r="F71" s="7">
        <f t="shared" si="35"/>
        <v>2.2074966567571762E-3</v>
      </c>
      <c r="G71" s="2"/>
      <c r="H71" s="6">
        <v>280.44</v>
      </c>
      <c r="I71" s="2"/>
      <c r="J71" s="7">
        <f t="shared" si="36"/>
        <v>1.6225711191135217E-3</v>
      </c>
      <c r="K71" s="2"/>
      <c r="L71" s="6">
        <f t="shared" si="37"/>
        <v>0</v>
      </c>
      <c r="M71" s="2"/>
      <c r="N71" s="7">
        <f t="shared" si="38"/>
        <v>0</v>
      </c>
      <c r="O71" s="11"/>
      <c r="P71" s="6">
        <v>1121.76</v>
      </c>
      <c r="Q71" s="2"/>
      <c r="R71" s="7">
        <f t="shared" si="39"/>
        <v>1.5147052840537585E-3</v>
      </c>
      <c r="S71" s="2"/>
      <c r="T71" s="6">
        <v>1121.76</v>
      </c>
      <c r="U71" s="2"/>
      <c r="V71" s="7">
        <f t="shared" si="40"/>
        <v>9.8735916042362137E-4</v>
      </c>
      <c r="W71" s="2"/>
      <c r="X71" s="6">
        <f t="shared" si="41"/>
        <v>0</v>
      </c>
      <c r="Y71" s="2"/>
      <c r="Z71" s="7">
        <f t="shared" si="42"/>
        <v>0</v>
      </c>
    </row>
    <row r="72" spans="1:26" s="28" customFormat="1" outlineLevel="1" collapsed="1" x14ac:dyDescent="0.25">
      <c r="A72" s="27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SUM(OSRRefD22_4x_0)</f>
        <v>0</v>
      </c>
      <c r="E72" s="1"/>
      <c r="F72" s="5">
        <f t="shared" si="35"/>
        <v>0</v>
      </c>
      <c r="G72" s="1"/>
      <c r="H72" s="1">
        <f>SUM(OSRRefH22_4x_0)</f>
        <v>0</v>
      </c>
      <c r="I72" s="1"/>
      <c r="J72" s="5">
        <f t="shared" si="36"/>
        <v>0</v>
      </c>
      <c r="K72" s="1"/>
      <c r="L72" s="1">
        <f t="shared" si="37"/>
        <v>0</v>
      </c>
      <c r="M72" s="1"/>
      <c r="N72" s="5">
        <f t="shared" si="38"/>
        <v>0</v>
      </c>
      <c r="O72" s="14"/>
      <c r="P72" s="1">
        <f>SUM(OSRRefP22_4x_0)</f>
        <v>0</v>
      </c>
      <c r="Q72" s="1"/>
      <c r="R72" s="5">
        <f t="shared" si="39"/>
        <v>0</v>
      </c>
      <c r="S72" s="1"/>
      <c r="T72" s="1">
        <f>SUM(OSRRefT22_4x_0)</f>
        <v>0</v>
      </c>
      <c r="U72" s="1"/>
      <c r="V72" s="5">
        <f t="shared" si="40"/>
        <v>0</v>
      </c>
      <c r="W72" s="1"/>
      <c r="X72" s="1">
        <f t="shared" si="41"/>
        <v>0</v>
      </c>
      <c r="Y72" s="1"/>
      <c r="Z72" s="5">
        <f t="shared" si="42"/>
        <v>0</v>
      </c>
    </row>
    <row r="73" spans="1:26" s="24" customFormat="1" hidden="1" outlineLevel="2" x14ac:dyDescent="0.25">
      <c r="A73" s="29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35"/>
        <v>0</v>
      </c>
      <c r="G73" s="2"/>
      <c r="H73" s="6">
        <v>0</v>
      </c>
      <c r="I73" s="2"/>
      <c r="J73" s="7">
        <f t="shared" si="36"/>
        <v>0</v>
      </c>
      <c r="K73" s="2"/>
      <c r="L73" s="6">
        <f t="shared" si="37"/>
        <v>0</v>
      </c>
      <c r="M73" s="2"/>
      <c r="N73" s="7">
        <f t="shared" si="38"/>
        <v>0</v>
      </c>
      <c r="O73" s="11"/>
      <c r="P73" s="6"/>
      <c r="Q73" s="2"/>
      <c r="R73" s="7">
        <f t="shared" si="39"/>
        <v>0</v>
      </c>
      <c r="S73" s="2"/>
      <c r="T73" s="6">
        <v>0</v>
      </c>
      <c r="U73" s="2"/>
      <c r="V73" s="7">
        <f t="shared" si="40"/>
        <v>0</v>
      </c>
      <c r="W73" s="2"/>
      <c r="X73" s="6">
        <f t="shared" si="41"/>
        <v>0</v>
      </c>
      <c r="Y73" s="2"/>
      <c r="Z73" s="7">
        <f t="shared" si="42"/>
        <v>0</v>
      </c>
    </row>
    <row r="74" spans="1:26" s="28" customFormat="1" outlineLevel="1" collapsed="1" x14ac:dyDescent="0.25">
      <c r="A74" s="27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SUM(OSRRefD22_5x_0)</f>
        <v>5.42</v>
      </c>
      <c r="E74" s="1"/>
      <c r="F74" s="5">
        <f t="shared" si="35"/>
        <v>4.2663785050719922E-5</v>
      </c>
      <c r="G74" s="1"/>
      <c r="H74" s="1">
        <f>SUM(OSRRefH22_5x_0)</f>
        <v>273.20999999999998</v>
      </c>
      <c r="I74" s="1"/>
      <c r="J74" s="5">
        <f t="shared" si="36"/>
        <v>1.5807397498680831E-3</v>
      </c>
      <c r="K74" s="1"/>
      <c r="L74" s="1">
        <f t="shared" si="37"/>
        <v>-267.78999999999996</v>
      </c>
      <c r="M74" s="1"/>
      <c r="N74" s="5">
        <f t="shared" si="38"/>
        <v>-0.98016178031550816</v>
      </c>
      <c r="O74" s="14"/>
      <c r="P74" s="1">
        <f>SUM(OSRRefP22_5x_0)</f>
        <v>121.79</v>
      </c>
      <c r="Q74" s="1"/>
      <c r="R74" s="5">
        <f t="shared" si="39"/>
        <v>1.6445225052141925E-4</v>
      </c>
      <c r="S74" s="1"/>
      <c r="T74" s="1">
        <f>SUM(OSRRefT22_5x_0)</f>
        <v>550.47</v>
      </c>
      <c r="U74" s="1"/>
      <c r="V74" s="5">
        <f t="shared" si="40"/>
        <v>4.8451682805447768E-4</v>
      </c>
      <c r="W74" s="1"/>
      <c r="X74" s="1">
        <f t="shared" si="41"/>
        <v>-428.68</v>
      </c>
      <c r="Y74" s="1"/>
      <c r="Z74" s="5">
        <f t="shared" si="42"/>
        <v>-0.7787527022362708</v>
      </c>
    </row>
    <row r="75" spans="1:26" s="24" customFormat="1" hidden="1" outlineLevel="2" x14ac:dyDescent="0.25">
      <c r="A75" s="29"/>
      <c r="B75" s="11" t="str">
        <f>CONCATENATE("          ", "6305", " - ", "FREIGHT OUT")</f>
        <v xml:space="preserve">          6305 - FREIGHT OUT</v>
      </c>
      <c r="C75" s="11"/>
      <c r="D75" s="6">
        <v>5.42</v>
      </c>
      <c r="E75" s="2"/>
      <c r="F75" s="7">
        <f t="shared" si="35"/>
        <v>4.2663785050719922E-5</v>
      </c>
      <c r="G75" s="2"/>
      <c r="H75" s="6">
        <v>273.20999999999998</v>
      </c>
      <c r="I75" s="2"/>
      <c r="J75" s="7">
        <f t="shared" si="36"/>
        <v>1.5807397498680831E-3</v>
      </c>
      <c r="K75" s="2"/>
      <c r="L75" s="6">
        <f t="shared" si="37"/>
        <v>-267.78999999999996</v>
      </c>
      <c r="M75" s="2"/>
      <c r="N75" s="7">
        <f t="shared" si="38"/>
        <v>-0.98016178031550816</v>
      </c>
      <c r="O75" s="11"/>
      <c r="P75" s="6">
        <v>121.79</v>
      </c>
      <c r="Q75" s="2"/>
      <c r="R75" s="7">
        <f t="shared" si="39"/>
        <v>1.6445225052141925E-4</v>
      </c>
      <c r="S75" s="2"/>
      <c r="T75" s="6">
        <v>537.87</v>
      </c>
      <c r="U75" s="2"/>
      <c r="V75" s="7">
        <f t="shared" si="40"/>
        <v>4.7342646521274896E-4</v>
      </c>
      <c r="W75" s="2"/>
      <c r="X75" s="6">
        <f t="shared" si="41"/>
        <v>-416.08</v>
      </c>
      <c r="Y75" s="2"/>
      <c r="Z75" s="7">
        <f t="shared" si="42"/>
        <v>-0.77356982170412925</v>
      </c>
    </row>
    <row r="76" spans="1:26" s="24" customFormat="1" hidden="1" outlineLevel="2" x14ac:dyDescent="0.25">
      <c r="A76" s="29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35"/>
        <v>0</v>
      </c>
      <c r="G76" s="2"/>
      <c r="H76" s="6"/>
      <c r="I76" s="2"/>
      <c r="J76" s="7">
        <f t="shared" si="36"/>
        <v>0</v>
      </c>
      <c r="K76" s="2"/>
      <c r="L76" s="6">
        <f t="shared" si="37"/>
        <v>0</v>
      </c>
      <c r="M76" s="2"/>
      <c r="N76" s="7">
        <f t="shared" si="38"/>
        <v>0</v>
      </c>
      <c r="O76" s="11"/>
      <c r="P76" s="6"/>
      <c r="Q76" s="2"/>
      <c r="R76" s="7">
        <f t="shared" si="39"/>
        <v>0</v>
      </c>
      <c r="S76" s="2"/>
      <c r="T76" s="6">
        <v>12.6</v>
      </c>
      <c r="U76" s="2"/>
      <c r="V76" s="7">
        <f t="shared" si="40"/>
        <v>1.1090362841728738E-5</v>
      </c>
      <c r="W76" s="2"/>
      <c r="X76" s="6">
        <f t="shared" si="41"/>
        <v>-12.6</v>
      </c>
      <c r="Y76" s="2"/>
      <c r="Z76" s="7">
        <f t="shared" si="42"/>
        <v>-1</v>
      </c>
    </row>
    <row r="77" spans="1:26" s="28" customFormat="1" outlineLevel="1" collapsed="1" x14ac:dyDescent="0.25">
      <c r="A77" s="27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SUM(OSRRefD22_6x_0)</f>
        <v>0</v>
      </c>
      <c r="E77" s="1"/>
      <c r="F77" s="5">
        <f t="shared" ref="F77:F84" si="43">IF(D$12=0,0,D77/D$12)</f>
        <v>0</v>
      </c>
      <c r="G77" s="1"/>
      <c r="H77" s="1">
        <f>SUM(OSRRefH22_6x_0)</f>
        <v>0</v>
      </c>
      <c r="I77" s="1"/>
      <c r="J77" s="5">
        <f t="shared" ref="J77:J84" si="44">IF(H$12=0,0,H77/H$12)</f>
        <v>0</v>
      </c>
      <c r="K77" s="1"/>
      <c r="L77" s="1">
        <f t="shared" ref="L77:L84" si="45">+D77-H77</f>
        <v>0</v>
      </c>
      <c r="M77" s="1"/>
      <c r="N77" s="5">
        <f t="shared" ref="N77:N84" si="46">IF(H77=0,0,L77/H77)</f>
        <v>0</v>
      </c>
      <c r="O77" s="14"/>
      <c r="P77" s="1">
        <f>SUM(OSRRefP22_6x_0)</f>
        <v>0</v>
      </c>
      <c r="Q77" s="1"/>
      <c r="R77" s="5">
        <f t="shared" ref="R77:R84" si="47">IF(P$12=0,0,P77/P$12)</f>
        <v>0</v>
      </c>
      <c r="S77" s="1"/>
      <c r="T77" s="1">
        <f>SUM(OSRRefT22_6x_0)</f>
        <v>-30.15</v>
      </c>
      <c r="U77" s="1"/>
      <c r="V77" s="5">
        <f t="shared" ref="V77:V84" si="48">IF(T$12=0,0,T77/T$12)</f>
        <v>-2.6537653942708053E-5</v>
      </c>
      <c r="W77" s="1"/>
      <c r="X77" s="1">
        <f t="shared" ref="X77:X84" si="49">+P77-T77</f>
        <v>30.15</v>
      </c>
      <c r="Y77" s="1"/>
      <c r="Z77" s="5">
        <f t="shared" ref="Z77:Z84" si="50">IF(T77=0,0,X77/T77)</f>
        <v>-1</v>
      </c>
    </row>
    <row r="78" spans="1:26" s="24" customFormat="1" hidden="1" outlineLevel="2" x14ac:dyDescent="0.25">
      <c r="A78" s="29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43"/>
        <v>0</v>
      </c>
      <c r="G78" s="2"/>
      <c r="H78" s="6"/>
      <c r="I78" s="2"/>
      <c r="J78" s="7">
        <f t="shared" si="44"/>
        <v>0</v>
      </c>
      <c r="K78" s="2"/>
      <c r="L78" s="6">
        <f t="shared" si="45"/>
        <v>0</v>
      </c>
      <c r="M78" s="2"/>
      <c r="N78" s="7">
        <f t="shared" si="46"/>
        <v>0</v>
      </c>
      <c r="O78" s="11"/>
      <c r="P78" s="6"/>
      <c r="Q78" s="2"/>
      <c r="R78" s="7">
        <f t="shared" si="47"/>
        <v>0</v>
      </c>
      <c r="S78" s="2"/>
      <c r="T78" s="6">
        <v>-30.15</v>
      </c>
      <c r="U78" s="2"/>
      <c r="V78" s="7">
        <f t="shared" si="48"/>
        <v>-2.6537653942708053E-5</v>
      </c>
      <c r="W78" s="2"/>
      <c r="X78" s="6">
        <f t="shared" si="49"/>
        <v>30.15</v>
      </c>
      <c r="Y78" s="2"/>
      <c r="Z78" s="7">
        <f t="shared" si="50"/>
        <v>-1</v>
      </c>
    </row>
    <row r="79" spans="1:26" s="28" customFormat="1" outlineLevel="1" collapsed="1" x14ac:dyDescent="0.25">
      <c r="A79" s="27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SUM(OSRRefD22_7x_0)</f>
        <v>590</v>
      </c>
      <c r="E79" s="1"/>
      <c r="F79" s="5">
        <f t="shared" si="43"/>
        <v>4.6442127638237551E-3</v>
      </c>
      <c r="G79" s="1"/>
      <c r="H79" s="1">
        <f>SUM(OSRRefH22_7x_0)</f>
        <v>1250</v>
      </c>
      <c r="I79" s="1"/>
      <c r="J79" s="5">
        <f t="shared" si="44"/>
        <v>7.2322560936096923E-3</v>
      </c>
      <c r="K79" s="1"/>
      <c r="L79" s="1">
        <f t="shared" si="45"/>
        <v>-660</v>
      </c>
      <c r="M79" s="1"/>
      <c r="N79" s="5">
        <f t="shared" si="46"/>
        <v>-0.52800000000000002</v>
      </c>
      <c r="O79" s="14"/>
      <c r="P79" s="1">
        <f>SUM(OSRRefP22_7x_0)</f>
        <v>4670</v>
      </c>
      <c r="Q79" s="1"/>
      <c r="R79" s="5">
        <f t="shared" si="47"/>
        <v>6.3058708427213058E-3</v>
      </c>
      <c r="S79" s="1"/>
      <c r="T79" s="1">
        <f>SUM(OSRRefT22_7x_0)</f>
        <v>5000</v>
      </c>
      <c r="U79" s="1"/>
      <c r="V79" s="5">
        <f t="shared" si="48"/>
        <v>4.4009376356066426E-3</v>
      </c>
      <c r="W79" s="1"/>
      <c r="X79" s="1">
        <f t="shared" si="49"/>
        <v>-330</v>
      </c>
      <c r="Y79" s="1"/>
      <c r="Z79" s="5">
        <f t="shared" si="50"/>
        <v>-6.6000000000000003E-2</v>
      </c>
    </row>
    <row r="80" spans="1:26" s="24" customFormat="1" hidden="1" outlineLevel="2" x14ac:dyDescent="0.25">
      <c r="A80" s="29"/>
      <c r="B80" s="11" t="str">
        <f>CONCATENATE("          ", "6408", " - ", "INVENTORY ADJUSTMENT")</f>
        <v xml:space="preserve">          6408 - INVENTORY ADJUSTMENT</v>
      </c>
      <c r="C80" s="11"/>
      <c r="D80" s="6">
        <v>590</v>
      </c>
      <c r="E80" s="2"/>
      <c r="F80" s="7">
        <f t="shared" si="43"/>
        <v>4.6442127638237551E-3</v>
      </c>
      <c r="G80" s="2"/>
      <c r="H80" s="6">
        <v>1250</v>
      </c>
      <c r="I80" s="2"/>
      <c r="J80" s="7">
        <f t="shared" si="44"/>
        <v>7.2322560936096923E-3</v>
      </c>
      <c r="K80" s="2"/>
      <c r="L80" s="6">
        <f t="shared" si="45"/>
        <v>-660</v>
      </c>
      <c r="M80" s="2"/>
      <c r="N80" s="7">
        <f t="shared" si="46"/>
        <v>-0.52800000000000002</v>
      </c>
      <c r="O80" s="11"/>
      <c r="P80" s="6">
        <v>4670</v>
      </c>
      <c r="Q80" s="2"/>
      <c r="R80" s="7">
        <f t="shared" si="47"/>
        <v>6.3058708427213058E-3</v>
      </c>
      <c r="S80" s="2"/>
      <c r="T80" s="6">
        <v>5000</v>
      </c>
      <c r="U80" s="2"/>
      <c r="V80" s="7">
        <f t="shared" si="48"/>
        <v>4.4009376356066426E-3</v>
      </c>
      <c r="W80" s="2"/>
      <c r="X80" s="6">
        <f t="shared" si="49"/>
        <v>-330</v>
      </c>
      <c r="Y80" s="2"/>
      <c r="Z80" s="7">
        <f t="shared" si="50"/>
        <v>-6.6000000000000003E-2</v>
      </c>
    </row>
    <row r="81" spans="1:26" s="28" customFormat="1" outlineLevel="1" collapsed="1" x14ac:dyDescent="0.25">
      <c r="A81" s="27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SUM(OSRRefD22_8x_0)</f>
        <v>159.5</v>
      </c>
      <c r="E81" s="1"/>
      <c r="F81" s="5">
        <f t="shared" si="43"/>
        <v>1.2555117556438795E-3</v>
      </c>
      <c r="G81" s="1"/>
      <c r="H81" s="1">
        <f>SUM(OSRRefH22_8x_0)</f>
        <v>29.59</v>
      </c>
      <c r="I81" s="1"/>
      <c r="J81" s="5">
        <f t="shared" si="44"/>
        <v>1.7120196624792862E-4</v>
      </c>
      <c r="K81" s="1"/>
      <c r="L81" s="1">
        <f t="shared" si="45"/>
        <v>129.91</v>
      </c>
      <c r="M81" s="1"/>
      <c r="N81" s="5">
        <f t="shared" si="46"/>
        <v>4.3903345724907066</v>
      </c>
      <c r="O81" s="14"/>
      <c r="P81" s="1">
        <f>SUM(OSRRefP22_8x_0)</f>
        <v>3218.69</v>
      </c>
      <c r="Q81" s="1"/>
      <c r="R81" s="5">
        <f t="shared" si="47"/>
        <v>4.3461763217898589E-3</v>
      </c>
      <c r="S81" s="1"/>
      <c r="T81" s="1">
        <f>SUM(OSRRefT22_8x_0)</f>
        <v>1524.5</v>
      </c>
      <c r="U81" s="1"/>
      <c r="V81" s="5">
        <f t="shared" si="48"/>
        <v>1.3418458850964652E-3</v>
      </c>
      <c r="W81" s="1"/>
      <c r="X81" s="1">
        <f t="shared" si="49"/>
        <v>1694.19</v>
      </c>
      <c r="Y81" s="1"/>
      <c r="Z81" s="5">
        <f t="shared" si="50"/>
        <v>1.111308625778944</v>
      </c>
    </row>
    <row r="82" spans="1:26" s="24" customFormat="1" hidden="1" outlineLevel="2" x14ac:dyDescent="0.25">
      <c r="A82" s="29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43"/>
        <v>0</v>
      </c>
      <c r="G82" s="2"/>
      <c r="H82" s="6"/>
      <c r="I82" s="2"/>
      <c r="J82" s="7">
        <f t="shared" si="44"/>
        <v>0</v>
      </c>
      <c r="K82" s="2"/>
      <c r="L82" s="6">
        <f t="shared" si="45"/>
        <v>0</v>
      </c>
      <c r="M82" s="2"/>
      <c r="N82" s="7">
        <f t="shared" si="46"/>
        <v>0</v>
      </c>
      <c r="O82" s="11"/>
      <c r="P82" s="6"/>
      <c r="Q82" s="2"/>
      <c r="R82" s="7">
        <f t="shared" si="47"/>
        <v>0</v>
      </c>
      <c r="S82" s="2"/>
      <c r="T82" s="6">
        <v>668.12</v>
      </c>
      <c r="U82" s="2"/>
      <c r="V82" s="7">
        <f t="shared" si="48"/>
        <v>5.8807089062030201E-4</v>
      </c>
      <c r="W82" s="2"/>
      <c r="X82" s="6">
        <f t="shared" si="49"/>
        <v>-668.12</v>
      </c>
      <c r="Y82" s="2"/>
      <c r="Z82" s="7">
        <f t="shared" si="50"/>
        <v>-1</v>
      </c>
    </row>
    <row r="83" spans="1:26" s="24" customFormat="1" hidden="1" outlineLevel="2" x14ac:dyDescent="0.25">
      <c r="A83" s="29"/>
      <c r="B83" s="11" t="str">
        <f>CONCATENATE("          ", "6241", " - ", "OFFICE EXPENSE")</f>
        <v xml:space="preserve">          6241 - OFFICE EXPENSE</v>
      </c>
      <c r="C83" s="11"/>
      <c r="D83" s="6">
        <v>159.5</v>
      </c>
      <c r="E83" s="2"/>
      <c r="F83" s="7">
        <f t="shared" si="43"/>
        <v>1.2555117556438795E-3</v>
      </c>
      <c r="G83" s="2"/>
      <c r="H83" s="6">
        <v>29.59</v>
      </c>
      <c r="I83" s="2"/>
      <c r="J83" s="7">
        <f t="shared" si="44"/>
        <v>1.7120196624792862E-4</v>
      </c>
      <c r="K83" s="2"/>
      <c r="L83" s="6">
        <f t="shared" si="45"/>
        <v>129.91</v>
      </c>
      <c r="M83" s="2"/>
      <c r="N83" s="7">
        <f t="shared" si="46"/>
        <v>4.3903345724907066</v>
      </c>
      <c r="O83" s="11"/>
      <c r="P83" s="6">
        <v>306.69</v>
      </c>
      <c r="Q83" s="2"/>
      <c r="R83" s="7">
        <f t="shared" si="47"/>
        <v>4.141215264998281E-4</v>
      </c>
      <c r="S83" s="2"/>
      <c r="T83" s="6">
        <v>856.38</v>
      </c>
      <c r="U83" s="2"/>
      <c r="V83" s="7">
        <f t="shared" si="48"/>
        <v>7.5377499447616323E-4</v>
      </c>
      <c r="W83" s="2"/>
      <c r="X83" s="6">
        <f t="shared" si="49"/>
        <v>-549.69000000000005</v>
      </c>
      <c r="Y83" s="2"/>
      <c r="Z83" s="7">
        <f t="shared" si="50"/>
        <v>-0.64187626988019342</v>
      </c>
    </row>
    <row r="84" spans="1:26" s="24" customFormat="1" hidden="1" outlineLevel="2" x14ac:dyDescent="0.25">
      <c r="A84" s="29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43"/>
        <v>0</v>
      </c>
      <c r="G84" s="2"/>
      <c r="H84" s="6"/>
      <c r="I84" s="2"/>
      <c r="J84" s="7">
        <f t="shared" si="44"/>
        <v>0</v>
      </c>
      <c r="K84" s="2"/>
      <c r="L84" s="6">
        <f t="shared" si="45"/>
        <v>0</v>
      </c>
      <c r="M84" s="2"/>
      <c r="N84" s="7">
        <f t="shared" si="46"/>
        <v>0</v>
      </c>
      <c r="O84" s="11"/>
      <c r="P84" s="6">
        <v>2912</v>
      </c>
      <c r="Q84" s="2"/>
      <c r="R84" s="7">
        <f t="shared" si="47"/>
        <v>3.9320547952900308E-3</v>
      </c>
      <c r="S84" s="2"/>
      <c r="T84" s="6"/>
      <c r="U84" s="2"/>
      <c r="V84" s="7">
        <f t="shared" si="48"/>
        <v>0</v>
      </c>
      <c r="W84" s="2"/>
      <c r="X84" s="6">
        <f t="shared" si="49"/>
        <v>2912</v>
      </c>
      <c r="Y84" s="2"/>
      <c r="Z84" s="7">
        <f t="shared" si="50"/>
        <v>0</v>
      </c>
    </row>
    <row r="85" spans="1:26" s="28" customFormat="1" outlineLevel="1" collapsed="1" x14ac:dyDescent="0.25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SUM(OSRRefD22_9x_0)</f>
        <v>203.45</v>
      </c>
      <c r="E85" s="1"/>
      <c r="F85" s="5">
        <f t="shared" ref="F85:F88" si="51">IF(D$12=0,0,D85/D$12)</f>
        <v>1.6014662488134626E-3</v>
      </c>
      <c r="G85" s="1"/>
      <c r="H85" s="1">
        <f>SUM(OSRRefH22_9x_0)</f>
        <v>354.3</v>
      </c>
      <c r="I85" s="1"/>
      <c r="J85" s="5">
        <f t="shared" ref="J85:J88" si="52">IF(H$12=0,0,H85/H$12)</f>
        <v>2.0499106671727314E-3</v>
      </c>
      <c r="K85" s="1"/>
      <c r="L85" s="1">
        <f t="shared" ref="L85:L88" si="53">+D85-H85</f>
        <v>-150.85000000000002</v>
      </c>
      <c r="M85" s="1"/>
      <c r="N85" s="5">
        <f t="shared" ref="N85:N88" si="54">IF(H85=0,0,L85/H85)</f>
        <v>-0.42576912221281404</v>
      </c>
      <c r="O85" s="14"/>
      <c r="P85" s="1">
        <f>SUM(OSRRefP22_9x_0)</f>
        <v>849.9</v>
      </c>
      <c r="Q85" s="1"/>
      <c r="R85" s="5">
        <f t="shared" ref="R85:R88" si="55">IF(P$12=0,0,P85/P$12)</f>
        <v>1.1476144816335841E-3</v>
      </c>
      <c r="S85" s="1"/>
      <c r="T85" s="1">
        <f>SUM(OSRRefT22_9x_0)</f>
        <v>1265.8499999999999</v>
      </c>
      <c r="U85" s="1"/>
      <c r="V85" s="5">
        <f t="shared" ref="V85:V88" si="56">IF(T$12=0,0,T85/T$12)</f>
        <v>1.1141853812065335E-3</v>
      </c>
      <c r="W85" s="1"/>
      <c r="X85" s="1">
        <f t="shared" ref="X85:X88" si="57">+P85-T85</f>
        <v>-415.94999999999993</v>
      </c>
      <c r="Y85" s="1"/>
      <c r="Z85" s="5">
        <f t="shared" ref="Z85:Z88" si="58">IF(T85=0,0,X85/T85)</f>
        <v>-0.32859343524114226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6">
        <v>203.45</v>
      </c>
      <c r="E86" s="2"/>
      <c r="F86" s="7">
        <f t="shared" si="51"/>
        <v>1.6014662488134626E-3</v>
      </c>
      <c r="G86" s="2"/>
      <c r="H86" s="6">
        <v>354.3</v>
      </c>
      <c r="I86" s="2"/>
      <c r="J86" s="7">
        <f t="shared" si="52"/>
        <v>2.0499106671727314E-3</v>
      </c>
      <c r="K86" s="2"/>
      <c r="L86" s="6">
        <f t="shared" si="53"/>
        <v>-150.85000000000002</v>
      </c>
      <c r="M86" s="2"/>
      <c r="N86" s="7">
        <f t="shared" si="54"/>
        <v>-0.42576912221281404</v>
      </c>
      <c r="O86" s="11"/>
      <c r="P86" s="6">
        <v>849.9</v>
      </c>
      <c r="Q86" s="2"/>
      <c r="R86" s="7">
        <f t="shared" si="55"/>
        <v>1.1476144816335841E-3</v>
      </c>
      <c r="S86" s="2"/>
      <c r="T86" s="6">
        <v>1265.8499999999999</v>
      </c>
      <c r="U86" s="2"/>
      <c r="V86" s="7">
        <f t="shared" si="56"/>
        <v>1.1141853812065335E-3</v>
      </c>
      <c r="W86" s="2"/>
      <c r="X86" s="6">
        <f t="shared" si="57"/>
        <v>-415.94999999999993</v>
      </c>
      <c r="Y86" s="2"/>
      <c r="Z86" s="7">
        <f t="shared" si="58"/>
        <v>-0.32859343524114226</v>
      </c>
    </row>
    <row r="87" spans="1:26" s="28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SUM(OSRRefD22_10x_0)</f>
        <v>0</v>
      </c>
      <c r="E87" s="1"/>
      <c r="F87" s="5">
        <f t="shared" si="51"/>
        <v>0</v>
      </c>
      <c r="G87" s="1"/>
      <c r="H87" s="1">
        <f>SUM(OSRRefH22_10x_0)</f>
        <v>100</v>
      </c>
      <c r="I87" s="1"/>
      <c r="J87" s="5">
        <f t="shared" si="52"/>
        <v>5.7858048748877535E-4</v>
      </c>
      <c r="K87" s="1"/>
      <c r="L87" s="1">
        <f t="shared" si="53"/>
        <v>-100</v>
      </c>
      <c r="M87" s="1"/>
      <c r="N87" s="5">
        <f t="shared" si="54"/>
        <v>-1</v>
      </c>
      <c r="O87" s="14"/>
      <c r="P87" s="1">
        <f>SUM(OSRRefP22_10x_0)</f>
        <v>0</v>
      </c>
      <c r="Q87" s="1"/>
      <c r="R87" s="5">
        <f t="shared" si="55"/>
        <v>0</v>
      </c>
      <c r="S87" s="1"/>
      <c r="T87" s="1">
        <f>SUM(OSRRefT22_10x_0)</f>
        <v>100</v>
      </c>
      <c r="U87" s="1"/>
      <c r="V87" s="5">
        <f t="shared" si="56"/>
        <v>8.8018752712132841E-5</v>
      </c>
      <c r="W87" s="1"/>
      <c r="X87" s="1">
        <f t="shared" si="57"/>
        <v>-100</v>
      </c>
      <c r="Y87" s="1"/>
      <c r="Z87" s="5">
        <f t="shared" si="58"/>
        <v>-1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1"/>
        <v>0</v>
      </c>
      <c r="G88" s="2"/>
      <c r="H88" s="6">
        <v>100</v>
      </c>
      <c r="I88" s="2"/>
      <c r="J88" s="7">
        <f t="shared" si="52"/>
        <v>5.7858048748877535E-4</v>
      </c>
      <c r="K88" s="2"/>
      <c r="L88" s="6">
        <f t="shared" si="53"/>
        <v>-100</v>
      </c>
      <c r="M88" s="2"/>
      <c r="N88" s="7">
        <f t="shared" si="54"/>
        <v>-1</v>
      </c>
      <c r="O88" s="11"/>
      <c r="P88" s="6"/>
      <c r="Q88" s="2"/>
      <c r="R88" s="7">
        <f t="shared" si="55"/>
        <v>0</v>
      </c>
      <c r="S88" s="2"/>
      <c r="T88" s="6">
        <v>100</v>
      </c>
      <c r="U88" s="2"/>
      <c r="V88" s="7">
        <f t="shared" si="56"/>
        <v>8.8018752712132841E-5</v>
      </c>
      <c r="W88" s="2"/>
      <c r="X88" s="6">
        <f t="shared" si="57"/>
        <v>-100</v>
      </c>
      <c r="Y88" s="2"/>
      <c r="Z88" s="7">
        <f t="shared" si="58"/>
        <v>-1</v>
      </c>
    </row>
    <row r="89" spans="1:26" s="56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5" t="s">
        <v>292</v>
      </c>
      <c r="C90" s="10"/>
      <c r="D90" s="4">
        <f>SUM(OSRRefD25x_0)</f>
        <v>-964.18999999999994</v>
      </c>
      <c r="E90" s="4"/>
      <c r="F90" s="12">
        <f t="shared" ref="F90:F93" si="59">IF(D$12=0,0,D90/D$12)</f>
        <v>-7.5896669572054678E-3</v>
      </c>
      <c r="G90" s="4"/>
      <c r="H90" s="4">
        <f>SUM(OSRRefH25x_0)</f>
        <v>1355.96</v>
      </c>
      <c r="I90" s="4"/>
      <c r="J90" s="12">
        <f t="shared" ref="J90:J93" si="60">IF(H$12=0,0,H90/H$12)</f>
        <v>7.8453199781527982E-3</v>
      </c>
      <c r="K90" s="4"/>
      <c r="L90" s="4">
        <f t="shared" ref="L90:L93" si="61">+D90-H90</f>
        <v>-2320.15</v>
      </c>
      <c r="M90" s="4"/>
      <c r="N90" s="12">
        <f t="shared" ref="N90:N93" si="62">IF(H90=0,0,L90/H90)</f>
        <v>-1.7110755479512669</v>
      </c>
      <c r="O90" s="10"/>
      <c r="P90" s="4">
        <f>SUM(OSRRefP25x_0)</f>
        <v>1807.25</v>
      </c>
      <c r="Q90" s="4"/>
      <c r="R90" s="12">
        <f t="shared" ref="R90:R93" si="63">IF(P$12=0,0,P90/P$12)</f>
        <v>2.440318004391452E-3</v>
      </c>
      <c r="S90" s="4"/>
      <c r="T90" s="4">
        <f>SUM(OSRRefT25x_0)</f>
        <v>1123.24</v>
      </c>
      <c r="U90" s="4"/>
      <c r="V90" s="12">
        <f t="shared" ref="V90:V93" si="64">IF(T$12=0,0,T90/T$12)</f>
        <v>9.8866183796376093E-4</v>
      </c>
      <c r="W90" s="4"/>
      <c r="X90" s="4">
        <f t="shared" ref="X90:X93" si="65">+P90-T90</f>
        <v>684.01</v>
      </c>
      <c r="Y90" s="4"/>
      <c r="Z90" s="12">
        <f t="shared" ref="Z90:Z93" si="66">IF(T90=0,0,X90/T90)</f>
        <v>0.60896157544246998</v>
      </c>
    </row>
    <row r="91" spans="1:26" s="24" customFormat="1" hidden="1" outlineLevel="1" x14ac:dyDescent="0.25">
      <c r="A91" s="44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0</f>
        <v>0</v>
      </c>
      <c r="E91" s="2"/>
      <c r="F91" s="19">
        <f t="shared" si="59"/>
        <v>0</v>
      </c>
      <c r="G91" s="2"/>
      <c r="H91" s="2">
        <f>--792.83</f>
        <v>792.83</v>
      </c>
      <c r="I91" s="2"/>
      <c r="J91" s="19">
        <f t="shared" si="60"/>
        <v>4.587159678957258E-3</v>
      </c>
      <c r="K91" s="2"/>
      <c r="L91" s="2">
        <f t="shared" si="61"/>
        <v>-792.83</v>
      </c>
      <c r="M91" s="2"/>
      <c r="N91" s="19">
        <f t="shared" si="62"/>
        <v>-1</v>
      </c>
      <c r="O91" s="11"/>
      <c r="P91" s="2">
        <f>0</f>
        <v>0</v>
      </c>
      <c r="Q91" s="2"/>
      <c r="R91" s="19">
        <f t="shared" si="63"/>
        <v>0</v>
      </c>
      <c r="S91" s="2"/>
      <c r="T91" s="2">
        <f>--937.96</f>
        <v>937.96</v>
      </c>
      <c r="U91" s="2"/>
      <c r="V91" s="19">
        <f t="shared" si="64"/>
        <v>8.2558069293872129E-4</v>
      </c>
      <c r="W91" s="2"/>
      <c r="X91" s="2">
        <f t="shared" si="65"/>
        <v>-937.96</v>
      </c>
      <c r="Y91" s="2"/>
      <c r="Z91" s="19">
        <f t="shared" si="66"/>
        <v>-1</v>
      </c>
    </row>
    <row r="92" spans="1:26" s="24" customFormat="1" hidden="1" outlineLevel="1" x14ac:dyDescent="0.25">
      <c r="A92" s="44"/>
      <c r="B92" s="11" t="str">
        <f>CONCATENATE("          ", "9087", " - ", "")</f>
        <v xml:space="preserve">          9087 - </v>
      </c>
      <c r="C92" s="11"/>
      <c r="D92" s="2">
        <f>-830.04</f>
        <v>-830.04</v>
      </c>
      <c r="E92" s="2"/>
      <c r="F92" s="19">
        <f t="shared" si="59"/>
        <v>-6.5336989194648637E-3</v>
      </c>
      <c r="G92" s="2"/>
      <c r="H92" s="2">
        <f>0</f>
        <v>0</v>
      </c>
      <c r="I92" s="2"/>
      <c r="J92" s="19">
        <f t="shared" si="60"/>
        <v>0</v>
      </c>
      <c r="K92" s="2"/>
      <c r="L92" s="2">
        <f t="shared" si="61"/>
        <v>-830.04</v>
      </c>
      <c r="M92" s="2"/>
      <c r="N92" s="19">
        <f t="shared" si="62"/>
        <v>0</v>
      </c>
      <c r="O92" s="11"/>
      <c r="P92" s="2">
        <f>-466.39</f>
        <v>-466.39</v>
      </c>
      <c r="Q92" s="2"/>
      <c r="R92" s="19">
        <f t="shared" si="63"/>
        <v>-6.2976340521130405E-4</v>
      </c>
      <c r="S92" s="2"/>
      <c r="T92" s="2">
        <f>0</f>
        <v>0</v>
      </c>
      <c r="U92" s="2"/>
      <c r="V92" s="19">
        <f t="shared" si="64"/>
        <v>0</v>
      </c>
      <c r="W92" s="2"/>
      <c r="X92" s="2">
        <f t="shared" si="65"/>
        <v>-466.39</v>
      </c>
      <c r="Y92" s="2"/>
      <c r="Z92" s="19">
        <f t="shared" si="66"/>
        <v>0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-134.15</f>
        <v>-134.15</v>
      </c>
      <c r="E93" s="2"/>
      <c r="F93" s="19">
        <f t="shared" si="59"/>
        <v>-1.0559680377406047E-3</v>
      </c>
      <c r="G93" s="2"/>
      <c r="H93" s="2">
        <f>--563.13</f>
        <v>563.13</v>
      </c>
      <c r="I93" s="2"/>
      <c r="J93" s="19">
        <f t="shared" si="60"/>
        <v>3.2581602991955407E-3</v>
      </c>
      <c r="K93" s="2"/>
      <c r="L93" s="2">
        <f t="shared" si="61"/>
        <v>-697.28</v>
      </c>
      <c r="M93" s="2"/>
      <c r="N93" s="19">
        <f t="shared" si="62"/>
        <v>-1.2382220801591106</v>
      </c>
      <c r="O93" s="11"/>
      <c r="P93" s="2">
        <f>--2273.64</f>
        <v>2273.64</v>
      </c>
      <c r="Q93" s="2"/>
      <c r="R93" s="19">
        <f t="shared" si="63"/>
        <v>3.0700814096027555E-3</v>
      </c>
      <c r="S93" s="2"/>
      <c r="T93" s="2">
        <f>--185.28</f>
        <v>185.28</v>
      </c>
      <c r="U93" s="2"/>
      <c r="V93" s="19">
        <f t="shared" si="64"/>
        <v>1.6308114502503973E-4</v>
      </c>
      <c r="W93" s="2"/>
      <c r="X93" s="2">
        <f t="shared" si="65"/>
        <v>2088.3599999999997</v>
      </c>
      <c r="Y93" s="2"/>
      <c r="Z93" s="19">
        <f t="shared" si="66"/>
        <v>11.271373056994817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276</v>
      </c>
      <c r="C95" s="26"/>
      <c r="D95" s="22">
        <f>+D49-D51+D90</f>
        <v>-18125.249999999989</v>
      </c>
      <c r="E95" s="13"/>
      <c r="F95" s="20">
        <f>IF(D$12=0,0,D95/D$12)</f>
        <v>-0.14267375830084147</v>
      </c>
      <c r="G95" s="13"/>
      <c r="H95" s="22">
        <f>+H49-H51+H90</f>
        <v>2806.6700000000483</v>
      </c>
      <c r="I95" s="13"/>
      <c r="J95" s="20">
        <f>IF(H$12=0,0,H95/H$12)</f>
        <v>1.623884496820149E-2</v>
      </c>
      <c r="K95" s="15"/>
      <c r="L95" s="22">
        <f>+D95-H95</f>
        <v>-20931.920000000038</v>
      </c>
      <c r="M95" s="15"/>
      <c r="N95" s="20">
        <f>IF(H95=0,0,L95/H95)</f>
        <v>-7.457919883705487</v>
      </c>
      <c r="O95" s="25"/>
      <c r="P95" s="22">
        <f>+P49-P51+P90</f>
        <v>63627.470000000103</v>
      </c>
      <c r="Q95" s="13"/>
      <c r="R95" s="20">
        <f>IF(P$12=0,0,P95/P$12)</f>
        <v>8.5915761856343739E-2</v>
      </c>
      <c r="S95" s="13"/>
      <c r="T95" s="22">
        <f>+T49-T51+T90</f>
        <v>2064.9800000000268</v>
      </c>
      <c r="U95" s="13"/>
      <c r="V95" s="20">
        <f>IF(T$12=0,0,T95/T$12)</f>
        <v>1.8175696397550246E-3</v>
      </c>
      <c r="W95" s="15"/>
      <c r="X95" s="22">
        <f>+P95-T95</f>
        <v>61562.490000000078</v>
      </c>
      <c r="Y95" s="15"/>
      <c r="Z95" s="20">
        <f>IF(T95=0,0,X95/T95)</f>
        <v>29.812632567869557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127</v>
      </c>
      <c r="C97" s="10"/>
      <c r="D97" s="4">
        <v>9663.6200000000008</v>
      </c>
      <c r="E97" s="4"/>
      <c r="F97" s="12">
        <f>IF(D$12=0,0,D97/D$12)</f>
        <v>7.6067639574139867E-2</v>
      </c>
      <c r="G97" s="4"/>
      <c r="H97" s="4">
        <v>67655.09</v>
      </c>
      <c r="I97" s="4"/>
      <c r="J97" s="12">
        <f>IF(H$12=0,0,H97/H$12)</f>
        <v>0.39143914953296971</v>
      </c>
      <c r="K97" s="4"/>
      <c r="L97" s="4">
        <f>+D97-H97</f>
        <v>-57991.469999999994</v>
      </c>
      <c r="M97" s="4"/>
      <c r="N97" s="12">
        <f>IF(H97=0,0,L97/H97)</f>
        <v>-0.85716344476077111</v>
      </c>
      <c r="O97" s="10"/>
      <c r="P97" s="4">
        <v>85604.9</v>
      </c>
      <c r="Q97" s="4"/>
      <c r="R97" s="12">
        <f>IF(P$12=0,0,P97/P$12)</f>
        <v>0.11559174366254241</v>
      </c>
      <c r="S97" s="4"/>
      <c r="T97" s="4">
        <v>246108.39</v>
      </c>
      <c r="U97" s="4"/>
      <c r="V97" s="12">
        <f>IF(T$12=0,0,T97/T$12)</f>
        <v>0.2166215351979115</v>
      </c>
      <c r="W97" s="4"/>
      <c r="X97" s="4">
        <f>+P97-T97</f>
        <v>-160503.49000000002</v>
      </c>
      <c r="Y97" s="4"/>
      <c r="Z97" s="12">
        <f>IF(T97=0,0,X97/T97)</f>
        <v>-0.65216586074127747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125</v>
      </c>
      <c r="C99" s="26"/>
      <c r="D99" s="33">
        <f>+D95-D97</f>
        <v>-27788.869999999988</v>
      </c>
      <c r="E99" s="13"/>
      <c r="F99" s="31">
        <f>IF(D$12=0,0,D99/D$12)</f>
        <v>-0.21874139787498131</v>
      </c>
      <c r="G99" s="13"/>
      <c r="H99" s="33">
        <f>+H95-H97</f>
        <v>-64848.419999999947</v>
      </c>
      <c r="I99" s="13"/>
      <c r="J99" s="31">
        <f>IF(H$12=0,0,H99/H$12)</f>
        <v>-0.37520030456476822</v>
      </c>
      <c r="K99" s="15"/>
      <c r="L99" s="33">
        <f>D99-H99</f>
        <v>37059.549999999959</v>
      </c>
      <c r="M99" s="15"/>
      <c r="N99" s="31">
        <f>IF(H99=0,0,L99/H99)</f>
        <v>-0.5714796135356881</v>
      </c>
      <c r="O99" s="25"/>
      <c r="P99" s="33">
        <f>+P95-P97</f>
        <v>-21977.429999999891</v>
      </c>
      <c r="Q99" s="13"/>
      <c r="R99" s="31">
        <f>IF(P$12=0,0,P99/P$12)</f>
        <v>-2.9675981806198678E-2</v>
      </c>
      <c r="S99" s="13"/>
      <c r="T99" s="33">
        <f>+T95-T97</f>
        <v>-244043.40999999997</v>
      </c>
      <c r="U99" s="13"/>
      <c r="V99" s="31">
        <f>IF(T$12=0,0,T99/T$12)</f>
        <v>-0.21480396555815645</v>
      </c>
      <c r="W99" s="15"/>
      <c r="X99" s="33">
        <f>P99-T99</f>
        <v>222065.9800000001</v>
      </c>
      <c r="Y99" s="15"/>
      <c r="Z99" s="31">
        <f>IF(T99=0,0,X99/T99)</f>
        <v>-0.90994458731747818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293</v>
      </c>
      <c r="C102" s="26"/>
      <c r="D102" s="34">
        <f>SUM(D99:D101)</f>
        <v>-27788.869999999988</v>
      </c>
      <c r="E102" s="13"/>
      <c r="F102" s="30">
        <f>IF(D$12=0,0,D102/D$12)</f>
        <v>-0.21874139787498131</v>
      </c>
      <c r="G102" s="13"/>
      <c r="H102" s="34">
        <f>SUM(H99:H101)</f>
        <v>-64848.419999999947</v>
      </c>
      <c r="I102" s="13"/>
      <c r="J102" s="30">
        <f>IF(H$12=0,0,H102/H$12)</f>
        <v>-0.37520030456476822</v>
      </c>
      <c r="K102" s="15"/>
      <c r="L102" s="34">
        <f>+D102-H102</f>
        <v>37059.549999999959</v>
      </c>
      <c r="M102" s="15"/>
      <c r="N102" s="30">
        <f>IF(H102=0,0,L102/H102)</f>
        <v>-0.5714796135356881</v>
      </c>
      <c r="O102" s="25"/>
      <c r="P102" s="34">
        <f>SUM(P99:P101)</f>
        <v>-21977.429999999891</v>
      </c>
      <c r="Q102" s="13"/>
      <c r="R102" s="30">
        <f>IF(P$12=0,0,P102/P$12)</f>
        <v>-2.9675981806198678E-2</v>
      </c>
      <c r="S102" s="13"/>
      <c r="T102" s="34">
        <f>SUM(T99:T101)</f>
        <v>-244043.40999999997</v>
      </c>
      <c r="U102" s="13"/>
      <c r="V102" s="30">
        <f>IF(T$12=0,0,T102/T$12)</f>
        <v>-0.21480396555815645</v>
      </c>
      <c r="W102" s="15"/>
      <c r="X102" s="34">
        <f>+P102-T102</f>
        <v>222065.9800000001</v>
      </c>
      <c r="Y102" s="15"/>
      <c r="Z102" s="30">
        <f>IF(T102=0,0,X102/T102)</f>
        <v>-0.90994458731747818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61">
        <v>44517.967041516204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7" t="s">
        <v>56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8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9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25830.05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1" si="0">+D12-H12</f>
        <v>25830.05</v>
      </c>
      <c r="M12" s="4"/>
      <c r="N12" s="12">
        <f t="shared" ref="N12:N21" si="1">IF(H12=0,0,L12/H12)</f>
        <v>0</v>
      </c>
      <c r="O12" s="10"/>
      <c r="P12" s="4">
        <f>SUM(OSRRefP13x_0)</f>
        <v>48608.090000000004</v>
      </c>
      <c r="Q12" s="4"/>
      <c r="R12" s="12"/>
      <c r="S12" s="4"/>
      <c r="T12" s="4">
        <f>SUM(OSRRefT13x_0)</f>
        <v>2586.4700000000003</v>
      </c>
      <c r="U12" s="4"/>
      <c r="V12" s="12"/>
      <c r="W12" s="4"/>
      <c r="X12" s="4">
        <f t="shared" ref="X12:X21" si="2">+P12-T12</f>
        <v>46021.62</v>
      </c>
      <c r="Y12" s="4"/>
      <c r="Z12" s="12">
        <f t="shared" ref="Z12:Z21" si="3">IF(T12=0,0,X12/T12)</f>
        <v>17.793216236801509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--4222.65</f>
        <v>4222.6499999999996</v>
      </c>
      <c r="E13" s="2"/>
      <c r="F13" s="19"/>
      <c r="G13" s="2"/>
      <c r="H13" s="2">
        <f t="shared" ref="H13:H21" si="4">0</f>
        <v>0</v>
      </c>
      <c r="I13" s="2"/>
      <c r="J13" s="19"/>
      <c r="K13" s="2"/>
      <c r="L13" s="2">
        <f t="shared" si="0"/>
        <v>4222.6499999999996</v>
      </c>
      <c r="M13" s="2"/>
      <c r="N13" s="19">
        <f t="shared" si="1"/>
        <v>0</v>
      </c>
      <c r="O13" s="11"/>
      <c r="P13" s="2">
        <f>--8316.5</f>
        <v>8316.5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8316.5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ref="T15:T17" si="7"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--404.53</f>
        <v>404.53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404.53</v>
      </c>
      <c r="M16" s="2"/>
      <c r="N16" s="19">
        <f t="shared" si="1"/>
        <v>0</v>
      </c>
      <c r="O16" s="11"/>
      <c r="P16" s="2">
        <f>--543.62</f>
        <v>543.62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543.62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--21202.87</f>
        <v>21202.87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21202.87</v>
      </c>
      <c r="M17" s="2"/>
      <c r="N17" s="19">
        <f t="shared" si="1"/>
        <v>0</v>
      </c>
      <c r="O17" s="11"/>
      <c r="P17" s="2">
        <f>--39747.97</f>
        <v>39747.97</v>
      </c>
      <c r="Q17" s="2"/>
      <c r="R17" s="19"/>
      <c r="S17" s="2"/>
      <c r="T17" s="2">
        <f t="shared" si="7"/>
        <v>0</v>
      </c>
      <c r="U17" s="2"/>
      <c r="V17" s="19"/>
      <c r="W17" s="2"/>
      <c r="X17" s="2">
        <f t="shared" si="2"/>
        <v>39747.97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 t="shared" ref="D18:D21" si="8"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21" si="9">0</f>
        <v>0</v>
      </c>
      <c r="Q18" s="2"/>
      <c r="R18" s="19"/>
      <c r="S18" s="2"/>
      <c r="T18" s="2">
        <f>--2031.88</f>
        <v>2031.88</v>
      </c>
      <c r="U18" s="2"/>
      <c r="V18" s="19"/>
      <c r="W18" s="2"/>
      <c r="X18" s="2">
        <f t="shared" si="2"/>
        <v>-2031.88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 t="shared" si="8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9"/>
        <v>0</v>
      </c>
      <c r="Q19" s="2"/>
      <c r="R19" s="19"/>
      <c r="S19" s="2"/>
      <c r="T19" s="2">
        <f t="shared" ref="T19:T20" si="10"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 t="shared" si="8"/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9"/>
        <v>0</v>
      </c>
      <c r="Q20" s="2"/>
      <c r="R20" s="19"/>
      <c r="S20" s="2"/>
      <c r="T20" s="2">
        <f t="shared" si="10"/>
        <v>0</v>
      </c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8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9"/>
        <v>0</v>
      </c>
      <c r="Q21" s="2"/>
      <c r="R21" s="19"/>
      <c r="S21" s="2"/>
      <c r="T21" s="2">
        <f>--110</f>
        <v>110</v>
      </c>
      <c r="U21" s="2"/>
      <c r="V21" s="19"/>
      <c r="W21" s="2"/>
      <c r="X21" s="2">
        <f t="shared" si="2"/>
        <v>-110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5" t="s">
        <v>256</v>
      </c>
      <c r="C23" s="10"/>
      <c r="D23" s="4">
        <f>SUM(OSRRefD16x_0)</f>
        <v>12147.560000000001</v>
      </c>
      <c r="E23" s="4"/>
      <c r="F23" s="12">
        <f t="shared" ref="F23:F25" si="11">IF(D$12=0,0,D23/D$12)</f>
        <v>0.47028790110743113</v>
      </c>
      <c r="G23" s="4"/>
      <c r="H23" s="4">
        <f>SUM(OSRRefH16x_0)</f>
        <v>11058.83</v>
      </c>
      <c r="I23" s="4"/>
      <c r="J23" s="12">
        <f t="shared" ref="J23:J25" si="12">IF(H$12=0,0,H23/H$12)</f>
        <v>0</v>
      </c>
      <c r="K23" s="4"/>
      <c r="L23" s="4">
        <f t="shared" ref="L23:L25" si="13">+D23-H23</f>
        <v>1088.7300000000014</v>
      </c>
      <c r="M23" s="4"/>
      <c r="N23" s="12">
        <f t="shared" ref="N23:N25" si="14">IF(H23=0,0,L23/H23)</f>
        <v>9.8448931758603878E-2</v>
      </c>
      <c r="O23" s="10"/>
      <c r="P23" s="4">
        <f>SUM(OSRRefP16x_0)</f>
        <v>23365.84</v>
      </c>
      <c r="Q23" s="4"/>
      <c r="R23" s="12">
        <f t="shared" ref="R23:R25" si="15">IF(P$12=0,0,P23/P$12)</f>
        <v>0.48069858330166848</v>
      </c>
      <c r="S23" s="4"/>
      <c r="T23" s="4">
        <f>SUM(OSRRefT16x_0)</f>
        <v>8842.34</v>
      </c>
      <c r="U23" s="4"/>
      <c r="V23" s="12">
        <f t="shared" ref="V23:V25" si="16">IF(T$12=0,0,T23/T$12)</f>
        <v>3.4186903385695557</v>
      </c>
      <c r="W23" s="4"/>
      <c r="X23" s="4">
        <f t="shared" ref="X23:X25" si="17">+P23-T23</f>
        <v>14523.5</v>
      </c>
      <c r="Y23" s="4"/>
      <c r="Z23" s="12">
        <f t="shared" ref="Z23:Z25" si="18">IF(T23=0,0,X23/T23)</f>
        <v>1.642495086142356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12727.12</v>
      </c>
      <c r="E24" s="2"/>
      <c r="F24" s="19">
        <f t="shared" si="11"/>
        <v>0.4927253334778679</v>
      </c>
      <c r="G24" s="2"/>
      <c r="H24" s="2">
        <v>-570.16999999999996</v>
      </c>
      <c r="I24" s="2"/>
      <c r="J24" s="19">
        <f t="shared" si="12"/>
        <v>0</v>
      </c>
      <c r="K24" s="2"/>
      <c r="L24" s="2">
        <f t="shared" si="13"/>
        <v>13297.29</v>
      </c>
      <c r="M24" s="2"/>
      <c r="N24" s="19">
        <f t="shared" si="14"/>
        <v>-23.321623375484506</v>
      </c>
      <c r="O24" s="11"/>
      <c r="P24" s="2">
        <v>36083</v>
      </c>
      <c r="Q24" s="2"/>
      <c r="R24" s="19">
        <f t="shared" si="15"/>
        <v>0.7423249915806196</v>
      </c>
      <c r="S24" s="2"/>
      <c r="T24" s="2">
        <v>-2855.57</v>
      </c>
      <c r="U24" s="2"/>
      <c r="V24" s="19">
        <f t="shared" si="16"/>
        <v>-1.1040414155199945</v>
      </c>
      <c r="W24" s="2"/>
      <c r="X24" s="2">
        <f t="shared" si="17"/>
        <v>38938.57</v>
      </c>
      <c r="Y24" s="2"/>
      <c r="Z24" s="19">
        <f t="shared" si="18"/>
        <v>-13.636006121369814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-579.55999999999995</v>
      </c>
      <c r="E25" s="2"/>
      <c r="F25" s="19">
        <f t="shared" si="11"/>
        <v>-2.2437432370436758E-2</v>
      </c>
      <c r="G25" s="2"/>
      <c r="H25" s="2">
        <v>11629</v>
      </c>
      <c r="I25" s="2"/>
      <c r="J25" s="19">
        <f t="shared" si="12"/>
        <v>0</v>
      </c>
      <c r="K25" s="2"/>
      <c r="L25" s="2">
        <f t="shared" si="13"/>
        <v>-12208.56</v>
      </c>
      <c r="M25" s="2"/>
      <c r="N25" s="19">
        <f t="shared" si="14"/>
        <v>-1.0498374752773239</v>
      </c>
      <c r="O25" s="11"/>
      <c r="P25" s="2">
        <v>-12717.16</v>
      </c>
      <c r="Q25" s="2"/>
      <c r="R25" s="19">
        <f t="shared" si="15"/>
        <v>-0.26162640827895106</v>
      </c>
      <c r="S25" s="2"/>
      <c r="T25" s="2">
        <v>11697.91</v>
      </c>
      <c r="U25" s="2"/>
      <c r="V25" s="19">
        <f t="shared" si="16"/>
        <v>4.5227317540895502</v>
      </c>
      <c r="W25" s="2"/>
      <c r="X25" s="2">
        <f t="shared" si="17"/>
        <v>-24415.07</v>
      </c>
      <c r="Y25" s="2"/>
      <c r="Z25" s="19">
        <f t="shared" si="18"/>
        <v>-2.0871309490327761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107</v>
      </c>
      <c r="C27" s="26"/>
      <c r="D27" s="22">
        <f>D12-D23</f>
        <v>13682.489999999998</v>
      </c>
      <c r="E27" s="13"/>
      <c r="F27" s="20">
        <f>IF(D$12=0,0,D27/D$12)</f>
        <v>0.52971209889256887</v>
      </c>
      <c r="G27" s="13"/>
      <c r="H27" s="22">
        <f>H12-H23</f>
        <v>-11058.83</v>
      </c>
      <c r="I27" s="13"/>
      <c r="J27" s="20">
        <f>IF(H$12=0,0,H27/H$12)</f>
        <v>0</v>
      </c>
      <c r="K27" s="15"/>
      <c r="L27" s="22">
        <f>+D27-H27</f>
        <v>24741.32</v>
      </c>
      <c r="M27" s="15"/>
      <c r="N27" s="20">
        <f>IF(H27=0,0,L27/H27)</f>
        <v>-2.237245712249849</v>
      </c>
      <c r="O27" s="25"/>
      <c r="P27" s="22">
        <f>P12-P23</f>
        <v>25242.250000000004</v>
      </c>
      <c r="Q27" s="13"/>
      <c r="R27" s="20">
        <f>IF(P$12=0,0,P27/P$12)</f>
        <v>0.51930141669833152</v>
      </c>
      <c r="S27" s="13"/>
      <c r="T27" s="22">
        <f>T12-T23</f>
        <v>-6255.87</v>
      </c>
      <c r="U27" s="13"/>
      <c r="V27" s="20">
        <f>IF(T$12=0,0,T27/T$12)</f>
        <v>-2.4186903385695557</v>
      </c>
      <c r="W27" s="15"/>
      <c r="X27" s="22">
        <f>+P27-T27</f>
        <v>31498.120000000003</v>
      </c>
      <c r="Y27" s="15"/>
      <c r="Z27" s="20">
        <f>IF(T27=0,0,X27/T27)</f>
        <v>-5.0349703558417938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294</v>
      </c>
      <c r="C29" s="10"/>
      <c r="D29" s="21">
        <f>SUM(OSRRefD22x_0)</f>
        <v>20399.550000000003</v>
      </c>
      <c r="E29" s="21"/>
      <c r="F29" s="36">
        <f t="shared" ref="F29:F38" si="19">IF(D$12=0,0,D29/D$12)</f>
        <v>0.7897603759961751</v>
      </c>
      <c r="G29" s="21"/>
      <c r="H29" s="21">
        <f>SUM(OSRRefH22x_0)</f>
        <v>28394.239999999998</v>
      </c>
      <c r="I29" s="21"/>
      <c r="J29" s="36">
        <f t="shared" ref="J29:J38" si="20">IF(H$12=0,0,H29/H$12)</f>
        <v>0</v>
      </c>
      <c r="K29" s="4"/>
      <c r="L29" s="21">
        <f t="shared" ref="L29:L38" si="21">+D29-H29</f>
        <v>-7994.6899999999951</v>
      </c>
      <c r="M29" s="4"/>
      <c r="N29" s="36">
        <f t="shared" ref="N29:N38" si="22">IF(H29=0,0,L29/H29)</f>
        <v>-0.28156027419645657</v>
      </c>
      <c r="O29" s="10"/>
      <c r="P29" s="21">
        <f>SUM(OSRRefP22x_0)</f>
        <v>78886.289999999994</v>
      </c>
      <c r="Q29" s="21"/>
      <c r="R29" s="36">
        <f t="shared" ref="R29:R38" si="23">IF(P$12=0,0,P29/P$12)</f>
        <v>1.6229045411988001</v>
      </c>
      <c r="S29" s="21"/>
      <c r="T29" s="21">
        <f>SUM(OSRRefT22x_0)</f>
        <v>125834.98000000001</v>
      </c>
      <c r="U29" s="21"/>
      <c r="V29" s="36">
        <f t="shared" ref="V29:V38" si="24">IF(T$12=0,0,T29/T$12)</f>
        <v>48.65124281356443</v>
      </c>
      <c r="W29" s="4"/>
      <c r="X29" s="21">
        <f t="shared" ref="X29:X38" si="25">+P29-T29</f>
        <v>-46948.690000000017</v>
      </c>
      <c r="Y29" s="4"/>
      <c r="Z29" s="36">
        <f t="shared" ref="Z29:Z38" si="26">IF(T29=0,0,X29/T29)</f>
        <v>-0.37309728979970447</v>
      </c>
    </row>
    <row r="30" spans="1:26" s="28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540.71</v>
      </c>
      <c r="E30" s="1"/>
      <c r="F30" s="5">
        <f t="shared" si="19"/>
        <v>2.093337024125002E-2</v>
      </c>
      <c r="G30" s="1"/>
      <c r="H30" s="1">
        <f>SUM(OSRRefH22_0x_0)</f>
        <v>6403.2999999999993</v>
      </c>
      <c r="I30" s="1"/>
      <c r="J30" s="5">
        <f t="shared" si="20"/>
        <v>0</v>
      </c>
      <c r="K30" s="1"/>
      <c r="L30" s="1">
        <f t="shared" si="21"/>
        <v>-5862.5899999999992</v>
      </c>
      <c r="M30" s="1"/>
      <c r="N30" s="5">
        <f t="shared" si="22"/>
        <v>-0.91555760311089596</v>
      </c>
      <c r="O30" s="14"/>
      <c r="P30" s="1">
        <f>SUM(OSRRefP22_0x_0)</f>
        <v>1084.9000000000001</v>
      </c>
      <c r="Q30" s="1"/>
      <c r="R30" s="5">
        <f t="shared" si="23"/>
        <v>2.2319329971615835E-2</v>
      </c>
      <c r="S30" s="1"/>
      <c r="T30" s="1">
        <f>SUM(OSRRefT22_0x_0)</f>
        <v>27366.87</v>
      </c>
      <c r="U30" s="1"/>
      <c r="V30" s="5">
        <f t="shared" si="24"/>
        <v>10.580779981983165</v>
      </c>
      <c r="W30" s="1"/>
      <c r="X30" s="1">
        <f t="shared" si="25"/>
        <v>-26281.969999999998</v>
      </c>
      <c r="Y30" s="1"/>
      <c r="Z30" s="5">
        <f t="shared" si="26"/>
        <v>-0.9603571763961315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6">
        <v>359.05</v>
      </c>
      <c r="E31" s="2"/>
      <c r="F31" s="7">
        <f t="shared" si="19"/>
        <v>1.3900476383127405E-2</v>
      </c>
      <c r="G31" s="2"/>
      <c r="H31" s="6">
        <v>1222.23</v>
      </c>
      <c r="I31" s="2"/>
      <c r="J31" s="7">
        <f t="shared" si="20"/>
        <v>0</v>
      </c>
      <c r="K31" s="2"/>
      <c r="L31" s="6">
        <f t="shared" si="21"/>
        <v>-863.18000000000006</v>
      </c>
      <c r="M31" s="2"/>
      <c r="N31" s="7">
        <f t="shared" si="22"/>
        <v>-0.70623368760380623</v>
      </c>
      <c r="O31" s="11"/>
      <c r="P31" s="6">
        <v>690.72</v>
      </c>
      <c r="Q31" s="2"/>
      <c r="R31" s="7">
        <f t="shared" si="23"/>
        <v>1.4209980272831126E-2</v>
      </c>
      <c r="S31" s="2"/>
      <c r="T31" s="6">
        <v>3571.72</v>
      </c>
      <c r="U31" s="2"/>
      <c r="V31" s="7">
        <f t="shared" si="24"/>
        <v>1.3809245806059995</v>
      </c>
      <c r="W31" s="2"/>
      <c r="X31" s="6">
        <f t="shared" si="25"/>
        <v>-2881</v>
      </c>
      <c r="Y31" s="2"/>
      <c r="Z31" s="7">
        <f t="shared" si="26"/>
        <v>-0.806614180282889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6">
        <v>120.49</v>
      </c>
      <c r="E32" s="2"/>
      <c r="F32" s="7">
        <f t="shared" si="19"/>
        <v>4.6647219033644919E-3</v>
      </c>
      <c r="G32" s="2"/>
      <c r="H32" s="6">
        <v>163.46</v>
      </c>
      <c r="I32" s="2"/>
      <c r="J32" s="7">
        <f t="shared" si="20"/>
        <v>0</v>
      </c>
      <c r="K32" s="2"/>
      <c r="L32" s="6">
        <f t="shared" si="21"/>
        <v>-42.970000000000013</v>
      </c>
      <c r="M32" s="2"/>
      <c r="N32" s="7">
        <f t="shared" si="22"/>
        <v>-0.2628777682613484</v>
      </c>
      <c r="O32" s="11"/>
      <c r="P32" s="6">
        <v>236.25</v>
      </c>
      <c r="Q32" s="2"/>
      <c r="R32" s="7">
        <f t="shared" si="23"/>
        <v>4.8603020608297912E-3</v>
      </c>
      <c r="S32" s="2"/>
      <c r="T32" s="6">
        <v>660.16</v>
      </c>
      <c r="U32" s="2"/>
      <c r="V32" s="7">
        <f t="shared" si="24"/>
        <v>0.25523590066770535</v>
      </c>
      <c r="W32" s="2"/>
      <c r="X32" s="6">
        <f t="shared" si="25"/>
        <v>-423.90999999999997</v>
      </c>
      <c r="Y32" s="2"/>
      <c r="Z32" s="7">
        <f t="shared" si="26"/>
        <v>-0.64213221037324286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9"/>
        <v>0</v>
      </c>
      <c r="G33" s="2"/>
      <c r="H33" s="6">
        <v>2704.94</v>
      </c>
      <c r="I33" s="2"/>
      <c r="J33" s="7">
        <f t="shared" si="20"/>
        <v>0</v>
      </c>
      <c r="K33" s="2"/>
      <c r="L33" s="6">
        <f t="shared" si="21"/>
        <v>-2704.94</v>
      </c>
      <c r="M33" s="2"/>
      <c r="N33" s="7">
        <f t="shared" si="22"/>
        <v>-1</v>
      </c>
      <c r="O33" s="11"/>
      <c r="P33" s="6"/>
      <c r="Q33" s="2"/>
      <c r="R33" s="7">
        <f t="shared" si="23"/>
        <v>0</v>
      </c>
      <c r="S33" s="2"/>
      <c r="T33" s="6">
        <v>12735.39</v>
      </c>
      <c r="U33" s="2"/>
      <c r="V33" s="7">
        <f t="shared" si="24"/>
        <v>4.9238498803388397</v>
      </c>
      <c r="W33" s="2"/>
      <c r="X33" s="6">
        <f t="shared" si="25"/>
        <v>-12735.39</v>
      </c>
      <c r="Y33" s="2"/>
      <c r="Z33" s="7">
        <f t="shared" si="26"/>
        <v>-1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6">
        <v>21.17</v>
      </c>
      <c r="E34" s="2"/>
      <c r="F34" s="7">
        <f t="shared" si="19"/>
        <v>8.1958803796353477E-4</v>
      </c>
      <c r="G34" s="2"/>
      <c r="H34" s="6">
        <v>22.98</v>
      </c>
      <c r="I34" s="2"/>
      <c r="J34" s="7">
        <f t="shared" si="20"/>
        <v>0</v>
      </c>
      <c r="K34" s="2"/>
      <c r="L34" s="6">
        <f t="shared" si="21"/>
        <v>-1.8099999999999987</v>
      </c>
      <c r="M34" s="2"/>
      <c r="N34" s="7">
        <f t="shared" si="22"/>
        <v>-7.8764142732811085E-2</v>
      </c>
      <c r="O34" s="11"/>
      <c r="P34" s="6">
        <v>39.85</v>
      </c>
      <c r="Q34" s="2"/>
      <c r="R34" s="7">
        <f t="shared" si="23"/>
        <v>8.1982237936113105E-4</v>
      </c>
      <c r="S34" s="2"/>
      <c r="T34" s="6">
        <v>92.8</v>
      </c>
      <c r="U34" s="2"/>
      <c r="V34" s="7">
        <f t="shared" si="24"/>
        <v>3.5879016574713797E-2</v>
      </c>
      <c r="W34" s="2"/>
      <c r="X34" s="6">
        <f t="shared" si="25"/>
        <v>-52.949999999999996</v>
      </c>
      <c r="Y34" s="2"/>
      <c r="Z34" s="7">
        <f t="shared" si="26"/>
        <v>-0.57058189655172409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9"/>
        <v>0</v>
      </c>
      <c r="G35" s="2"/>
      <c r="H35" s="6">
        <v>561.37</v>
      </c>
      <c r="I35" s="2"/>
      <c r="J35" s="7">
        <f t="shared" si="20"/>
        <v>0</v>
      </c>
      <c r="K35" s="2"/>
      <c r="L35" s="6">
        <f t="shared" si="21"/>
        <v>-561.37</v>
      </c>
      <c r="M35" s="2"/>
      <c r="N35" s="7">
        <f t="shared" si="22"/>
        <v>-1</v>
      </c>
      <c r="O35" s="11"/>
      <c r="P35" s="6"/>
      <c r="Q35" s="2"/>
      <c r="R35" s="7">
        <f t="shared" si="23"/>
        <v>0</v>
      </c>
      <c r="S35" s="2"/>
      <c r="T35" s="6">
        <v>4294.96</v>
      </c>
      <c r="U35" s="2"/>
      <c r="V35" s="7">
        <f t="shared" si="24"/>
        <v>1.6605489334884995</v>
      </c>
      <c r="W35" s="2"/>
      <c r="X35" s="6">
        <f t="shared" si="25"/>
        <v>-4294.96</v>
      </c>
      <c r="Y35" s="2"/>
      <c r="Z35" s="7">
        <f t="shared" si="26"/>
        <v>-1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6"/>
      <c r="E36" s="2"/>
      <c r="F36" s="7">
        <f t="shared" si="19"/>
        <v>0</v>
      </c>
      <c r="G36" s="2"/>
      <c r="H36" s="6">
        <v>970.17</v>
      </c>
      <c r="I36" s="2"/>
      <c r="J36" s="7">
        <f t="shared" si="20"/>
        <v>0</v>
      </c>
      <c r="K36" s="2"/>
      <c r="L36" s="6">
        <f t="shared" si="21"/>
        <v>-970.17</v>
      </c>
      <c r="M36" s="2"/>
      <c r="N36" s="7">
        <f t="shared" si="22"/>
        <v>-1</v>
      </c>
      <c r="O36" s="11"/>
      <c r="P36" s="6"/>
      <c r="Q36" s="2"/>
      <c r="R36" s="7">
        <f t="shared" si="23"/>
        <v>0</v>
      </c>
      <c r="S36" s="2"/>
      <c r="T36" s="6">
        <v>3062.61</v>
      </c>
      <c r="U36" s="2"/>
      <c r="V36" s="7">
        <f t="shared" si="24"/>
        <v>1.1840887387056489</v>
      </c>
      <c r="W36" s="2"/>
      <c r="X36" s="6">
        <f t="shared" si="25"/>
        <v>-3062.61</v>
      </c>
      <c r="Y36" s="2"/>
      <c r="Z36" s="7">
        <f t="shared" si="26"/>
        <v>-1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6"/>
      <c r="E37" s="2"/>
      <c r="F37" s="7">
        <f t="shared" si="19"/>
        <v>0</v>
      </c>
      <c r="G37" s="2"/>
      <c r="H37" s="6">
        <v>672.96</v>
      </c>
      <c r="I37" s="2"/>
      <c r="J37" s="7">
        <f t="shared" si="20"/>
        <v>0</v>
      </c>
      <c r="K37" s="2"/>
      <c r="L37" s="6">
        <f t="shared" si="21"/>
        <v>-672.96</v>
      </c>
      <c r="M37" s="2"/>
      <c r="N37" s="7">
        <f t="shared" si="22"/>
        <v>-1</v>
      </c>
      <c r="O37" s="11"/>
      <c r="P37" s="6"/>
      <c r="Q37" s="2"/>
      <c r="R37" s="7">
        <f t="shared" si="23"/>
        <v>0</v>
      </c>
      <c r="S37" s="2"/>
      <c r="T37" s="6">
        <v>2222.86</v>
      </c>
      <c r="U37" s="2"/>
      <c r="V37" s="7">
        <f t="shared" si="24"/>
        <v>0.8594184351645292</v>
      </c>
      <c r="W37" s="2"/>
      <c r="X37" s="6">
        <f t="shared" si="25"/>
        <v>-2222.86</v>
      </c>
      <c r="Y37" s="2"/>
      <c r="Z37" s="7">
        <f t="shared" si="26"/>
        <v>-1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6">
        <v>40</v>
      </c>
      <c r="E38" s="2"/>
      <c r="F38" s="7">
        <f t="shared" si="19"/>
        <v>1.5485839167945863E-3</v>
      </c>
      <c r="G38" s="2"/>
      <c r="H38" s="6">
        <v>85.19</v>
      </c>
      <c r="I38" s="2"/>
      <c r="J38" s="7">
        <f t="shared" si="20"/>
        <v>0</v>
      </c>
      <c r="K38" s="2"/>
      <c r="L38" s="6">
        <f t="shared" si="21"/>
        <v>-45.19</v>
      </c>
      <c r="M38" s="2"/>
      <c r="N38" s="7">
        <f t="shared" si="22"/>
        <v>-0.53046132175137928</v>
      </c>
      <c r="O38" s="11"/>
      <c r="P38" s="6">
        <v>118.08</v>
      </c>
      <c r="Q38" s="2"/>
      <c r="R38" s="7">
        <f t="shared" si="23"/>
        <v>2.4292252585937854E-3</v>
      </c>
      <c r="S38" s="2"/>
      <c r="T38" s="6">
        <v>726.37</v>
      </c>
      <c r="U38" s="2"/>
      <c r="V38" s="7">
        <f t="shared" si="24"/>
        <v>0.28083449643722908</v>
      </c>
      <c r="W38" s="2"/>
      <c r="X38" s="6">
        <f t="shared" si="25"/>
        <v>-608.29</v>
      </c>
      <c r="Y38" s="2"/>
      <c r="Z38" s="7">
        <f t="shared" si="26"/>
        <v>-0.83743822019081182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6310.97</v>
      </c>
      <c r="E39" s="1"/>
      <c r="F39" s="5">
        <f t="shared" ref="F39:F42" si="27">IF(D$12=0,0,D39/D$12)</f>
        <v>0.24432666603432826</v>
      </c>
      <c r="G39" s="1"/>
      <c r="H39" s="1">
        <f>SUM(OSRRefH22_1x_0)</f>
        <v>5318.8899999999994</v>
      </c>
      <c r="I39" s="1"/>
      <c r="J39" s="5">
        <f t="shared" ref="J39:J42" si="28">IF(H$12=0,0,H39/H$12)</f>
        <v>0</v>
      </c>
      <c r="K39" s="1"/>
      <c r="L39" s="1">
        <f t="shared" ref="L39:L42" si="29">+D39-H39</f>
        <v>992.08000000000084</v>
      </c>
      <c r="M39" s="1"/>
      <c r="N39" s="5">
        <f t="shared" ref="N39:N42" si="30">IF(H39=0,0,L39/H39)</f>
        <v>0.186520119799432</v>
      </c>
      <c r="O39" s="14"/>
      <c r="P39" s="1">
        <f>SUM(OSRRefP22_1x_0)</f>
        <v>14371.759999999998</v>
      </c>
      <c r="Q39" s="1"/>
      <c r="R39" s="5">
        <f t="shared" ref="R39:R42" si="31">IF(P$12=0,0,P39/P$12)</f>
        <v>0.295666009505825</v>
      </c>
      <c r="S39" s="1"/>
      <c r="T39" s="1">
        <f>SUM(OSRRefT22_1x_0)</f>
        <v>37791.379999999997</v>
      </c>
      <c r="U39" s="1"/>
      <c r="V39" s="5">
        <f t="shared" ref="V39:V42" si="32">IF(T$12=0,0,T39/T$12)</f>
        <v>14.611180489238226</v>
      </c>
      <c r="W39" s="1"/>
      <c r="X39" s="1">
        <f t="shared" ref="X39:X42" si="33">+P39-T39</f>
        <v>-23419.62</v>
      </c>
      <c r="Y39" s="1"/>
      <c r="Z39" s="5">
        <f t="shared" ref="Z39:Z42" si="34">IF(T39=0,0,X39/T39)</f>
        <v>-0.61970798631857316</v>
      </c>
    </row>
    <row r="40" spans="1:26" s="24" customFormat="1" hidden="1" outlineLevel="2" x14ac:dyDescent="0.25">
      <c r="A40" s="29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7"/>
        <v>0</v>
      </c>
      <c r="G40" s="2"/>
      <c r="H40" s="6">
        <v>5319.03</v>
      </c>
      <c r="I40" s="2"/>
      <c r="J40" s="7">
        <f t="shared" si="28"/>
        <v>0</v>
      </c>
      <c r="K40" s="2"/>
      <c r="L40" s="6">
        <f t="shared" si="29"/>
        <v>-5319.03</v>
      </c>
      <c r="M40" s="2"/>
      <c r="N40" s="7">
        <f t="shared" si="30"/>
        <v>-1</v>
      </c>
      <c r="O40" s="11"/>
      <c r="P40" s="6"/>
      <c r="Q40" s="2"/>
      <c r="R40" s="7">
        <f t="shared" si="31"/>
        <v>0</v>
      </c>
      <c r="S40" s="2"/>
      <c r="T40" s="6">
        <v>35659.42</v>
      </c>
      <c r="U40" s="2"/>
      <c r="V40" s="7">
        <f t="shared" si="32"/>
        <v>13.786906478714229</v>
      </c>
      <c r="W40" s="2"/>
      <c r="X40" s="6">
        <f t="shared" si="33"/>
        <v>-35659.42</v>
      </c>
      <c r="Y40" s="2"/>
      <c r="Z40" s="7">
        <f t="shared" si="34"/>
        <v>-1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6">
        <v>4693.5</v>
      </c>
      <c r="E41" s="2"/>
      <c r="F41" s="7">
        <f t="shared" si="27"/>
        <v>0.18170696533688477</v>
      </c>
      <c r="G41" s="2"/>
      <c r="H41" s="6">
        <v>347.86</v>
      </c>
      <c r="I41" s="2"/>
      <c r="J41" s="7">
        <f t="shared" si="28"/>
        <v>0</v>
      </c>
      <c r="K41" s="2"/>
      <c r="L41" s="6">
        <f t="shared" si="29"/>
        <v>4345.6400000000003</v>
      </c>
      <c r="M41" s="2"/>
      <c r="N41" s="7">
        <f t="shared" si="30"/>
        <v>12.492496981544299</v>
      </c>
      <c r="O41" s="11"/>
      <c r="P41" s="6">
        <v>8180.4</v>
      </c>
      <c r="Q41" s="2"/>
      <c r="R41" s="7">
        <f t="shared" si="31"/>
        <v>0.16829297345359587</v>
      </c>
      <c r="S41" s="2"/>
      <c r="T41" s="6">
        <v>2131.96</v>
      </c>
      <c r="U41" s="2"/>
      <c r="V41" s="7">
        <f t="shared" si="32"/>
        <v>0.82427401052399596</v>
      </c>
      <c r="W41" s="2"/>
      <c r="X41" s="6">
        <f t="shared" si="33"/>
        <v>6048.44</v>
      </c>
      <c r="Y41" s="2"/>
      <c r="Z41" s="7">
        <f t="shared" si="34"/>
        <v>2.8370325897296382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6">
        <v>1617.47</v>
      </c>
      <c r="E42" s="2"/>
      <c r="F42" s="7">
        <f t="shared" si="27"/>
        <v>6.2619700697443478E-2</v>
      </c>
      <c r="G42" s="2"/>
      <c r="H42" s="6">
        <v>-348</v>
      </c>
      <c r="I42" s="2"/>
      <c r="J42" s="7">
        <f t="shared" si="28"/>
        <v>0</v>
      </c>
      <c r="K42" s="2"/>
      <c r="L42" s="6">
        <f t="shared" si="29"/>
        <v>1965.47</v>
      </c>
      <c r="M42" s="2"/>
      <c r="N42" s="7">
        <f t="shared" si="30"/>
        <v>-5.6479022988505747</v>
      </c>
      <c r="O42" s="11"/>
      <c r="P42" s="6">
        <v>6191.36</v>
      </c>
      <c r="Q42" s="2"/>
      <c r="R42" s="7">
        <f t="shared" si="31"/>
        <v>0.12737303605222916</v>
      </c>
      <c r="S42" s="2"/>
      <c r="T42" s="6">
        <v>0</v>
      </c>
      <c r="U42" s="2"/>
      <c r="V42" s="7">
        <f t="shared" si="32"/>
        <v>0</v>
      </c>
      <c r="W42" s="2"/>
      <c r="X42" s="6">
        <f t="shared" si="33"/>
        <v>6191.36</v>
      </c>
      <c r="Y42" s="2"/>
      <c r="Z42" s="7">
        <f t="shared" si="34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1" si="35">IF(D$12=0,0,D43/D$12)</f>
        <v>0</v>
      </c>
      <c r="G43" s="1"/>
      <c r="H43" s="1">
        <f>SUM(OSRRefH22_2x_0)</f>
        <v>0</v>
      </c>
      <c r="I43" s="1"/>
      <c r="J43" s="5">
        <f t="shared" ref="J43:J51" si="36">IF(H$12=0,0,H43/H$12)</f>
        <v>0</v>
      </c>
      <c r="K43" s="1"/>
      <c r="L43" s="1">
        <f t="shared" ref="L43:L51" si="37">+D43-H43</f>
        <v>0</v>
      </c>
      <c r="M43" s="1"/>
      <c r="N43" s="5">
        <f t="shared" ref="N43:N51" si="38">IF(H43=0,0,L43/H43)</f>
        <v>0</v>
      </c>
      <c r="O43" s="14"/>
      <c r="P43" s="1">
        <f>SUM(OSRRefP22_2x_0)</f>
        <v>87.97</v>
      </c>
      <c r="Q43" s="1"/>
      <c r="R43" s="5">
        <f t="shared" ref="R43:R51" si="39">IF(P$12=0,0,P43/P$12)</f>
        <v>1.8097810467352243E-3</v>
      </c>
      <c r="S43" s="1"/>
      <c r="T43" s="1">
        <f>SUM(OSRRefT22_2x_0)</f>
        <v>0</v>
      </c>
      <c r="U43" s="1"/>
      <c r="V43" s="5">
        <f t="shared" ref="V43:V51" si="40">IF(T$12=0,0,T43/T$12)</f>
        <v>0</v>
      </c>
      <c r="W43" s="1"/>
      <c r="X43" s="1">
        <f t="shared" ref="X43:X51" si="41">+P43-T43</f>
        <v>87.97</v>
      </c>
      <c r="Y43" s="1"/>
      <c r="Z43" s="5">
        <f t="shared" ref="Z43:Z51" si="42">IF(T43=0,0,X43/T43)</f>
        <v>0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5"/>
        <v>0</v>
      </c>
      <c r="G44" s="2"/>
      <c r="H44" s="6"/>
      <c r="I44" s="2"/>
      <c r="J44" s="7">
        <f t="shared" si="36"/>
        <v>0</v>
      </c>
      <c r="K44" s="2"/>
      <c r="L44" s="6">
        <f t="shared" si="37"/>
        <v>0</v>
      </c>
      <c r="M44" s="2"/>
      <c r="N44" s="7">
        <f t="shared" si="38"/>
        <v>0</v>
      </c>
      <c r="O44" s="11"/>
      <c r="P44" s="6">
        <v>87.97</v>
      </c>
      <c r="Q44" s="2"/>
      <c r="R44" s="7">
        <f t="shared" si="39"/>
        <v>1.8097810467352243E-3</v>
      </c>
      <c r="S44" s="2"/>
      <c r="T44" s="6"/>
      <c r="U44" s="2"/>
      <c r="V44" s="7">
        <f t="shared" si="40"/>
        <v>0</v>
      </c>
      <c r="W44" s="2"/>
      <c r="X44" s="6">
        <f t="shared" si="41"/>
        <v>87.97</v>
      </c>
      <c r="Y44" s="2"/>
      <c r="Z44" s="7">
        <f t="shared" si="42"/>
        <v>0</v>
      </c>
    </row>
    <row r="45" spans="1:26" s="28" customFormat="1" outlineLevel="1" collapsed="1" x14ac:dyDescent="0.25">
      <c r="A45" s="27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-7.31</v>
      </c>
      <c r="E45" s="1"/>
      <c r="F45" s="5">
        <f t="shared" si="35"/>
        <v>-2.8300371079421059E-4</v>
      </c>
      <c r="G45" s="1"/>
      <c r="H45" s="1">
        <f>SUM(OSRRefH22_3x_0)</f>
        <v>0</v>
      </c>
      <c r="I45" s="1"/>
      <c r="J45" s="5">
        <f t="shared" si="36"/>
        <v>0</v>
      </c>
      <c r="K45" s="1"/>
      <c r="L45" s="1">
        <f t="shared" si="37"/>
        <v>-7.31</v>
      </c>
      <c r="M45" s="1"/>
      <c r="N45" s="5">
        <f t="shared" si="38"/>
        <v>0</v>
      </c>
      <c r="O45" s="14"/>
      <c r="P45" s="1">
        <f>SUM(OSRRefP22_3x_0)</f>
        <v>7.18</v>
      </c>
      <c r="Q45" s="1"/>
      <c r="R45" s="5">
        <f t="shared" si="39"/>
        <v>1.4771203723495409E-4</v>
      </c>
      <c r="S45" s="1"/>
      <c r="T45" s="1">
        <f>SUM(OSRRefT22_3x_0)</f>
        <v>3.31</v>
      </c>
      <c r="U45" s="1"/>
      <c r="V45" s="5">
        <f t="shared" si="40"/>
        <v>1.2797364748092959E-3</v>
      </c>
      <c r="W45" s="1"/>
      <c r="X45" s="1">
        <f t="shared" si="41"/>
        <v>3.8699999999999997</v>
      </c>
      <c r="Y45" s="1"/>
      <c r="Z45" s="5">
        <f t="shared" si="42"/>
        <v>1.1691842900302114</v>
      </c>
    </row>
    <row r="46" spans="1:26" s="24" customFormat="1" hidden="1" outlineLevel="2" x14ac:dyDescent="0.25">
      <c r="A46" s="29"/>
      <c r="B46" s="11" t="str">
        <f>CONCATENATE("          ", "6272", " - ", "CASH (OVER/SHORT)")</f>
        <v xml:space="preserve">          6272 - CASH (OVER/SHORT)</v>
      </c>
      <c r="C46" s="11"/>
      <c r="D46" s="6">
        <v>-7.31</v>
      </c>
      <c r="E46" s="2"/>
      <c r="F46" s="7">
        <f t="shared" si="35"/>
        <v>-2.8300371079421059E-4</v>
      </c>
      <c r="G46" s="2"/>
      <c r="H46" s="6">
        <v>0</v>
      </c>
      <c r="I46" s="2"/>
      <c r="J46" s="7">
        <f t="shared" si="36"/>
        <v>0</v>
      </c>
      <c r="K46" s="2"/>
      <c r="L46" s="6">
        <f t="shared" si="37"/>
        <v>-7.31</v>
      </c>
      <c r="M46" s="2"/>
      <c r="N46" s="7">
        <f t="shared" si="38"/>
        <v>0</v>
      </c>
      <c r="O46" s="11"/>
      <c r="P46" s="6">
        <v>7.18</v>
      </c>
      <c r="Q46" s="2"/>
      <c r="R46" s="7">
        <f t="shared" si="39"/>
        <v>1.4771203723495409E-4</v>
      </c>
      <c r="S46" s="2"/>
      <c r="T46" s="6">
        <v>3.31</v>
      </c>
      <c r="U46" s="2"/>
      <c r="V46" s="7">
        <f t="shared" si="40"/>
        <v>1.2797364748092959E-3</v>
      </c>
      <c r="W46" s="2"/>
      <c r="X46" s="6">
        <f t="shared" si="41"/>
        <v>3.8699999999999997</v>
      </c>
      <c r="Y46" s="2"/>
      <c r="Z46" s="7">
        <f t="shared" si="42"/>
        <v>1.1691842900302114</v>
      </c>
    </row>
    <row r="47" spans="1:26" s="28" customFormat="1" outlineLevel="1" collapsed="1" x14ac:dyDescent="0.25">
      <c r="A47" s="27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1114.23</v>
      </c>
      <c r="E47" s="1"/>
      <c r="F47" s="5">
        <f t="shared" si="35"/>
        <v>4.3136966440250793E-2</v>
      </c>
      <c r="G47" s="1"/>
      <c r="H47" s="1">
        <f>SUM(OSRRefH22_4x_0)</f>
        <v>204.06</v>
      </c>
      <c r="I47" s="1"/>
      <c r="J47" s="5">
        <f t="shared" si="36"/>
        <v>0</v>
      </c>
      <c r="K47" s="1"/>
      <c r="L47" s="1">
        <f t="shared" si="37"/>
        <v>910.17000000000007</v>
      </c>
      <c r="M47" s="1"/>
      <c r="N47" s="5">
        <f t="shared" si="38"/>
        <v>4.4603057924139966</v>
      </c>
      <c r="O47" s="14"/>
      <c r="P47" s="1">
        <f>SUM(OSRRefP22_4x_0)</f>
        <v>2651.19</v>
      </c>
      <c r="Q47" s="1"/>
      <c r="R47" s="5">
        <f t="shared" si="39"/>
        <v>5.4542155431328405E-2</v>
      </c>
      <c r="S47" s="1"/>
      <c r="T47" s="1">
        <f>SUM(OSRRefT22_4x_0)</f>
        <v>434.24</v>
      </c>
      <c r="U47" s="1"/>
      <c r="V47" s="5">
        <f t="shared" si="40"/>
        <v>0.1678890534202987</v>
      </c>
      <c r="W47" s="1"/>
      <c r="X47" s="1">
        <f t="shared" si="41"/>
        <v>2216.9499999999998</v>
      </c>
      <c r="Y47" s="1"/>
      <c r="Z47" s="5">
        <f t="shared" si="42"/>
        <v>5.1053564848931465</v>
      </c>
    </row>
    <row r="48" spans="1:26" s="24" customFormat="1" hidden="1" outlineLevel="2" x14ac:dyDescent="0.25">
      <c r="A48" s="29"/>
      <c r="B48" s="11" t="str">
        <f>CONCATENATE("          ", "6381", " - ", "BANK/CREDIT CARD FEES")</f>
        <v xml:space="preserve">          6381 - BANK/CREDIT CARD FEES</v>
      </c>
      <c r="C48" s="11"/>
      <c r="D48" s="6">
        <v>1114.23</v>
      </c>
      <c r="E48" s="2"/>
      <c r="F48" s="7">
        <f t="shared" si="35"/>
        <v>4.3136966440250793E-2</v>
      </c>
      <c r="G48" s="2"/>
      <c r="H48" s="6">
        <v>204.06</v>
      </c>
      <c r="I48" s="2"/>
      <c r="J48" s="7">
        <f t="shared" si="36"/>
        <v>0</v>
      </c>
      <c r="K48" s="2"/>
      <c r="L48" s="6">
        <f t="shared" si="37"/>
        <v>910.17000000000007</v>
      </c>
      <c r="M48" s="2"/>
      <c r="N48" s="7">
        <f t="shared" si="38"/>
        <v>4.4603057924139966</v>
      </c>
      <c r="O48" s="11"/>
      <c r="P48" s="6">
        <v>2651.19</v>
      </c>
      <c r="Q48" s="2"/>
      <c r="R48" s="7">
        <f t="shared" si="39"/>
        <v>5.4542155431328405E-2</v>
      </c>
      <c r="S48" s="2"/>
      <c r="T48" s="6">
        <v>434.24</v>
      </c>
      <c r="U48" s="2"/>
      <c r="V48" s="7">
        <f t="shared" si="40"/>
        <v>0.1678890534202987</v>
      </c>
      <c r="W48" s="2"/>
      <c r="X48" s="6">
        <f t="shared" si="41"/>
        <v>2216.9499999999998</v>
      </c>
      <c r="Y48" s="2"/>
      <c r="Z48" s="7">
        <f t="shared" si="42"/>
        <v>5.1053564848931465</v>
      </c>
    </row>
    <row r="49" spans="1:26" s="28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6324.75</v>
      </c>
      <c r="E49" s="1"/>
      <c r="F49" s="5">
        <f t="shared" si="35"/>
        <v>0.24486015319366397</v>
      </c>
      <c r="G49" s="1"/>
      <c r="H49" s="1">
        <f>SUM(OSRRefH22_5x_0)</f>
        <v>9263.4500000000007</v>
      </c>
      <c r="I49" s="1"/>
      <c r="J49" s="5">
        <f t="shared" si="36"/>
        <v>0</v>
      </c>
      <c r="K49" s="1"/>
      <c r="L49" s="1">
        <f t="shared" si="37"/>
        <v>-2938.7000000000007</v>
      </c>
      <c r="M49" s="1"/>
      <c r="N49" s="5">
        <f t="shared" si="38"/>
        <v>-0.31723601897781067</v>
      </c>
      <c r="O49" s="14"/>
      <c r="P49" s="1">
        <f>SUM(OSRRefP22_5x_0)</f>
        <v>27731.360000000001</v>
      </c>
      <c r="Q49" s="1"/>
      <c r="R49" s="5">
        <f t="shared" si="39"/>
        <v>0.57050914775709138</v>
      </c>
      <c r="S49" s="1"/>
      <c r="T49" s="1">
        <f>SUM(OSRRefT22_5x_0)</f>
        <v>36789.64</v>
      </c>
      <c r="U49" s="1"/>
      <c r="V49" s="5">
        <f t="shared" si="40"/>
        <v>14.223880423898207</v>
      </c>
      <c r="W49" s="1"/>
      <c r="X49" s="1">
        <f t="shared" si="41"/>
        <v>-9058.2799999999988</v>
      </c>
      <c r="Y49" s="1"/>
      <c r="Z49" s="5">
        <f t="shared" si="42"/>
        <v>-0.24621822882746336</v>
      </c>
    </row>
    <row r="50" spans="1:26" s="24" customFormat="1" hidden="1" outlineLevel="2" x14ac:dyDescent="0.25">
      <c r="A50" s="29"/>
      <c r="B50" s="11" t="str">
        <f>CONCATENATE("          ", "6321", " - ", "BUILDING DEPRECIATION")</f>
        <v xml:space="preserve">          6321 - BUILDING DEPRECIATION</v>
      </c>
      <c r="C50" s="11"/>
      <c r="D50" s="6">
        <v>5080.51</v>
      </c>
      <c r="E50" s="2"/>
      <c r="F50" s="7">
        <f t="shared" si="35"/>
        <v>0.1966899018778516</v>
      </c>
      <c r="G50" s="2"/>
      <c r="H50" s="6">
        <v>5080.51</v>
      </c>
      <c r="I50" s="2"/>
      <c r="J50" s="7">
        <f t="shared" si="36"/>
        <v>0</v>
      </c>
      <c r="K50" s="2"/>
      <c r="L50" s="6">
        <f t="shared" si="37"/>
        <v>0</v>
      </c>
      <c r="M50" s="2"/>
      <c r="N50" s="7">
        <f t="shared" si="38"/>
        <v>0</v>
      </c>
      <c r="O50" s="11"/>
      <c r="P50" s="6">
        <v>20322.04</v>
      </c>
      <c r="Q50" s="2"/>
      <c r="R50" s="7">
        <f t="shared" si="39"/>
        <v>0.41807937732175854</v>
      </c>
      <c r="S50" s="2"/>
      <c r="T50" s="6">
        <v>20322.04</v>
      </c>
      <c r="U50" s="2"/>
      <c r="V50" s="7">
        <f t="shared" si="40"/>
        <v>7.8570561421551375</v>
      </c>
      <c r="W50" s="2"/>
      <c r="X50" s="6">
        <f t="shared" si="41"/>
        <v>0</v>
      </c>
      <c r="Y50" s="2"/>
      <c r="Z50" s="7">
        <f t="shared" si="42"/>
        <v>0</v>
      </c>
    </row>
    <row r="51" spans="1:26" s="24" customFormat="1" hidden="1" outlineLevel="2" x14ac:dyDescent="0.25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1244.24</v>
      </c>
      <c r="E51" s="2"/>
      <c r="F51" s="7">
        <f t="shared" si="35"/>
        <v>4.8170251315812401E-2</v>
      </c>
      <c r="G51" s="2"/>
      <c r="H51" s="6">
        <v>4182.9399999999996</v>
      </c>
      <c r="I51" s="2"/>
      <c r="J51" s="7">
        <f t="shared" si="36"/>
        <v>0</v>
      </c>
      <c r="K51" s="2"/>
      <c r="L51" s="6">
        <f t="shared" si="37"/>
        <v>-2938.7</v>
      </c>
      <c r="M51" s="2"/>
      <c r="N51" s="7">
        <f t="shared" si="38"/>
        <v>-0.70254414359278405</v>
      </c>
      <c r="O51" s="11"/>
      <c r="P51" s="6">
        <v>7409.32</v>
      </c>
      <c r="Q51" s="2"/>
      <c r="R51" s="7">
        <f t="shared" si="39"/>
        <v>0.15242977043533287</v>
      </c>
      <c r="S51" s="2"/>
      <c r="T51" s="6">
        <v>16467.599999999999</v>
      </c>
      <c r="U51" s="2"/>
      <c r="V51" s="7">
        <f t="shared" si="40"/>
        <v>6.3668242817430691</v>
      </c>
      <c r="W51" s="2"/>
      <c r="X51" s="6">
        <f t="shared" si="41"/>
        <v>-9058.2799999999988</v>
      </c>
      <c r="Y51" s="2"/>
      <c r="Z51" s="7">
        <f t="shared" si="42"/>
        <v>-0.55006679783332113</v>
      </c>
    </row>
    <row r="52" spans="1:26" s="28" customFormat="1" outlineLevel="1" collapsed="1" x14ac:dyDescent="0.25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SUM(OSRRefD22_6x_0)</f>
        <v>0</v>
      </c>
      <c r="E52" s="1"/>
      <c r="F52" s="5">
        <f t="shared" ref="F52:F62" si="43">IF(D$12=0,0,D52/D$12)</f>
        <v>0</v>
      </c>
      <c r="G52" s="1"/>
      <c r="H52" s="1">
        <f>SUM(OSRRefH22_6x_0)</f>
        <v>85.43</v>
      </c>
      <c r="I52" s="1"/>
      <c r="J52" s="5">
        <f t="shared" ref="J52:J62" si="44">IF(H$12=0,0,H52/H$12)</f>
        <v>0</v>
      </c>
      <c r="K52" s="1"/>
      <c r="L52" s="1">
        <f t="shared" ref="L52:L62" si="45">+D52-H52</f>
        <v>-85.43</v>
      </c>
      <c r="M52" s="1"/>
      <c r="N52" s="5">
        <f t="shared" ref="N52:N62" si="46">IF(H52=0,0,L52/H52)</f>
        <v>-1</v>
      </c>
      <c r="O52" s="14"/>
      <c r="P52" s="1">
        <f>SUM(OSRRefP22_6x_0)</f>
        <v>0</v>
      </c>
      <c r="Q52" s="1"/>
      <c r="R52" s="5">
        <f t="shared" ref="R52:R62" si="47">IF(P$12=0,0,P52/P$12)</f>
        <v>0</v>
      </c>
      <c r="S52" s="1"/>
      <c r="T52" s="1">
        <f>SUM(OSRRefT22_6x_0)</f>
        <v>95.43</v>
      </c>
      <c r="U52" s="1"/>
      <c r="V52" s="5">
        <f t="shared" ref="V52:V62" si="48">IF(T$12=0,0,T52/T$12)</f>
        <v>3.6895846462553207E-2</v>
      </c>
      <c r="W52" s="1"/>
      <c r="X52" s="1">
        <f t="shared" ref="X52:X62" si="49">+P52-T52</f>
        <v>-95.43</v>
      </c>
      <c r="Y52" s="1"/>
      <c r="Z52" s="5">
        <f t="shared" ref="Z52:Z62" si="50">IF(T52=0,0,X52/T52)</f>
        <v>-1</v>
      </c>
    </row>
    <row r="53" spans="1:26" s="24" customFormat="1" hidden="1" outlineLevel="2" x14ac:dyDescent="0.25">
      <c r="A53" s="29"/>
      <c r="B53" s="11" t="str">
        <f>CONCATENATE("          ", "6305", " - ", "FREIGHT OUT")</f>
        <v xml:space="preserve">          6305 - FREIGHT OUT</v>
      </c>
      <c r="C53" s="11"/>
      <c r="D53" s="6"/>
      <c r="E53" s="2"/>
      <c r="F53" s="7">
        <f t="shared" si="43"/>
        <v>0</v>
      </c>
      <c r="G53" s="2"/>
      <c r="H53" s="6">
        <v>85.43</v>
      </c>
      <c r="I53" s="2"/>
      <c r="J53" s="7">
        <f t="shared" si="44"/>
        <v>0</v>
      </c>
      <c r="K53" s="2"/>
      <c r="L53" s="6">
        <f t="shared" si="45"/>
        <v>-85.43</v>
      </c>
      <c r="M53" s="2"/>
      <c r="N53" s="7">
        <f t="shared" si="46"/>
        <v>-1</v>
      </c>
      <c r="O53" s="11"/>
      <c r="P53" s="6"/>
      <c r="Q53" s="2"/>
      <c r="R53" s="7">
        <f t="shared" si="47"/>
        <v>0</v>
      </c>
      <c r="S53" s="2"/>
      <c r="T53" s="6">
        <v>95.43</v>
      </c>
      <c r="U53" s="2"/>
      <c r="V53" s="7">
        <f t="shared" si="48"/>
        <v>3.6895846462553207E-2</v>
      </c>
      <c r="W53" s="2"/>
      <c r="X53" s="6">
        <f t="shared" si="49"/>
        <v>-95.43</v>
      </c>
      <c r="Y53" s="2"/>
      <c r="Z53" s="7">
        <f t="shared" si="50"/>
        <v>-1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43"/>
        <v>0</v>
      </c>
      <c r="G54" s="1"/>
      <c r="H54" s="1">
        <f>SUM(OSRRefH22_7x_0)</f>
        <v>0</v>
      </c>
      <c r="I54" s="1"/>
      <c r="J54" s="5">
        <f t="shared" si="44"/>
        <v>0</v>
      </c>
      <c r="K54" s="1"/>
      <c r="L54" s="1">
        <f t="shared" si="45"/>
        <v>0</v>
      </c>
      <c r="M54" s="1"/>
      <c r="N54" s="5">
        <f t="shared" si="46"/>
        <v>0</v>
      </c>
      <c r="O54" s="14"/>
      <c r="P54" s="1">
        <f>SUM(OSRRefP22_7x_0)</f>
        <v>1612</v>
      </c>
      <c r="Q54" s="1"/>
      <c r="R54" s="5">
        <f t="shared" si="47"/>
        <v>3.3163203902889411E-2</v>
      </c>
      <c r="S54" s="1"/>
      <c r="T54" s="1">
        <f>SUM(OSRRefT22_7x_0)</f>
        <v>1509.1</v>
      </c>
      <c r="U54" s="1"/>
      <c r="V54" s="5">
        <f t="shared" si="48"/>
        <v>0.58345930940625634</v>
      </c>
      <c r="W54" s="1"/>
      <c r="X54" s="1">
        <f t="shared" si="49"/>
        <v>102.90000000000009</v>
      </c>
      <c r="Y54" s="1"/>
      <c r="Z54" s="5">
        <f t="shared" si="50"/>
        <v>6.8186336226890271E-2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43"/>
        <v>0</v>
      </c>
      <c r="G55" s="2"/>
      <c r="H55" s="6">
        <v>0</v>
      </c>
      <c r="I55" s="2"/>
      <c r="J55" s="7">
        <f t="shared" si="44"/>
        <v>0</v>
      </c>
      <c r="K55" s="2"/>
      <c r="L55" s="6">
        <f t="shared" si="45"/>
        <v>0</v>
      </c>
      <c r="M55" s="2"/>
      <c r="N55" s="7">
        <f t="shared" si="46"/>
        <v>0</v>
      </c>
      <c r="O55" s="11"/>
      <c r="P55" s="6">
        <v>1612</v>
      </c>
      <c r="Q55" s="2"/>
      <c r="R55" s="7">
        <f t="shared" si="47"/>
        <v>3.3163203902889411E-2</v>
      </c>
      <c r="S55" s="2"/>
      <c r="T55" s="6">
        <v>1509.1</v>
      </c>
      <c r="U55" s="2"/>
      <c r="V55" s="7">
        <f t="shared" si="48"/>
        <v>0.58345930940625634</v>
      </c>
      <c r="W55" s="2"/>
      <c r="X55" s="6">
        <f t="shared" si="49"/>
        <v>102.90000000000009</v>
      </c>
      <c r="Y55" s="2"/>
      <c r="Z55" s="7">
        <f t="shared" si="50"/>
        <v>6.8186336226890271E-2</v>
      </c>
    </row>
    <row r="56" spans="1:26" s="28" customFormat="1" outlineLevel="1" collapsed="1" x14ac:dyDescent="0.25">
      <c r="A56" s="27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SUM(OSRRefD22_8x_0)</f>
        <v>331.01</v>
      </c>
      <c r="E56" s="1"/>
      <c r="F56" s="5">
        <f t="shared" si="43"/>
        <v>1.28149190574544E-2</v>
      </c>
      <c r="G56" s="1"/>
      <c r="H56" s="1">
        <f>SUM(OSRRefH22_8x_0)</f>
        <v>243.54</v>
      </c>
      <c r="I56" s="1"/>
      <c r="J56" s="5">
        <f t="shared" si="44"/>
        <v>0</v>
      </c>
      <c r="K56" s="1"/>
      <c r="L56" s="1">
        <f t="shared" si="45"/>
        <v>87.47</v>
      </c>
      <c r="M56" s="1"/>
      <c r="N56" s="5">
        <f t="shared" si="46"/>
        <v>0.35916071281924944</v>
      </c>
      <c r="O56" s="14"/>
      <c r="P56" s="1">
        <f>SUM(OSRRefP22_8x_0)</f>
        <v>1324.04</v>
      </c>
      <c r="Q56" s="1"/>
      <c r="R56" s="5">
        <f t="shared" si="47"/>
        <v>2.7239087156068049E-2</v>
      </c>
      <c r="S56" s="1"/>
      <c r="T56" s="1">
        <f>SUM(OSRRefT22_8x_0)</f>
        <v>974.16</v>
      </c>
      <c r="U56" s="1"/>
      <c r="V56" s="5">
        <f t="shared" si="48"/>
        <v>0.37663688347438784</v>
      </c>
      <c r="W56" s="1"/>
      <c r="X56" s="1">
        <f t="shared" si="49"/>
        <v>349.88</v>
      </c>
      <c r="Y56" s="1"/>
      <c r="Z56" s="5">
        <f t="shared" si="50"/>
        <v>0.35916071281924944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6">
        <v>331.01</v>
      </c>
      <c r="E57" s="2"/>
      <c r="F57" s="7">
        <f t="shared" si="43"/>
        <v>1.28149190574544E-2</v>
      </c>
      <c r="G57" s="2"/>
      <c r="H57" s="6">
        <v>243.54</v>
      </c>
      <c r="I57" s="2"/>
      <c r="J57" s="7">
        <f t="shared" si="44"/>
        <v>0</v>
      </c>
      <c r="K57" s="2"/>
      <c r="L57" s="6">
        <f t="shared" si="45"/>
        <v>87.47</v>
      </c>
      <c r="M57" s="2"/>
      <c r="N57" s="7">
        <f t="shared" si="46"/>
        <v>0.35916071281924944</v>
      </c>
      <c r="O57" s="11"/>
      <c r="P57" s="6">
        <v>1324.04</v>
      </c>
      <c r="Q57" s="2"/>
      <c r="R57" s="7">
        <f t="shared" si="47"/>
        <v>2.7239087156068049E-2</v>
      </c>
      <c r="S57" s="2"/>
      <c r="T57" s="6">
        <v>974.16</v>
      </c>
      <c r="U57" s="2"/>
      <c r="V57" s="7">
        <f t="shared" si="48"/>
        <v>0.37663688347438784</v>
      </c>
      <c r="W57" s="2"/>
      <c r="X57" s="6">
        <f t="shared" si="49"/>
        <v>349.88</v>
      </c>
      <c r="Y57" s="2"/>
      <c r="Z57" s="7">
        <f t="shared" si="50"/>
        <v>0.35916071281924944</v>
      </c>
    </row>
    <row r="58" spans="1:26" s="28" customFormat="1" outlineLevel="1" collapsed="1" x14ac:dyDescent="0.25">
      <c r="A58" s="27"/>
      <c r="B58" s="14" t="str">
        <f>CONCATENATE("     ","Interest                                          ")</f>
        <v xml:space="preserve">     Interest                                          </v>
      </c>
      <c r="C58" s="14"/>
      <c r="D58" s="1">
        <f>SUM(OSRRefD22_9x_0)</f>
        <v>3629</v>
      </c>
      <c r="E58" s="1"/>
      <c r="F58" s="5">
        <f t="shared" si="43"/>
        <v>0.14049527585118884</v>
      </c>
      <c r="G58" s="1"/>
      <c r="H58" s="1">
        <f>SUM(OSRRefH22_9x_0)</f>
        <v>3781.85</v>
      </c>
      <c r="I58" s="1"/>
      <c r="J58" s="5">
        <f t="shared" si="44"/>
        <v>0</v>
      </c>
      <c r="K58" s="1"/>
      <c r="L58" s="1">
        <f t="shared" si="45"/>
        <v>-152.84999999999991</v>
      </c>
      <c r="M58" s="1"/>
      <c r="N58" s="5">
        <f t="shared" si="46"/>
        <v>-4.0416727263111948E-2</v>
      </c>
      <c r="O58" s="14"/>
      <c r="P58" s="1">
        <f>SUM(OSRRefP22_9x_0)</f>
        <v>15344</v>
      </c>
      <c r="Q58" s="1"/>
      <c r="R58" s="5">
        <f t="shared" si="47"/>
        <v>0.31566761829152307</v>
      </c>
      <c r="S58" s="1"/>
      <c r="T58" s="1">
        <f>SUM(OSRRefT22_9x_0)</f>
        <v>15913.85</v>
      </c>
      <c r="U58" s="1"/>
      <c r="V58" s="5">
        <f t="shared" si="48"/>
        <v>6.1527293956628144</v>
      </c>
      <c r="W58" s="1"/>
      <c r="X58" s="1">
        <f t="shared" si="49"/>
        <v>-569.85000000000036</v>
      </c>
      <c r="Y58" s="1"/>
      <c r="Z58" s="5">
        <f t="shared" si="50"/>
        <v>-3.580843102077752E-2</v>
      </c>
    </row>
    <row r="59" spans="1:26" s="24" customFormat="1" hidden="1" outlineLevel="2" x14ac:dyDescent="0.25">
      <c r="A59" s="29"/>
      <c r="B59" s="11" t="str">
        <f>CONCATENATE("          ", "6401", " - ", "INTEREST EXPENSE")</f>
        <v xml:space="preserve">          6401 - INTEREST EXPENSE</v>
      </c>
      <c r="C59" s="11"/>
      <c r="D59" s="6">
        <v>3629</v>
      </c>
      <c r="E59" s="2"/>
      <c r="F59" s="7">
        <f t="shared" si="43"/>
        <v>0.14049527585118884</v>
      </c>
      <c r="G59" s="2"/>
      <c r="H59" s="6">
        <v>3781.85</v>
      </c>
      <c r="I59" s="2"/>
      <c r="J59" s="7">
        <f t="shared" si="44"/>
        <v>0</v>
      </c>
      <c r="K59" s="2"/>
      <c r="L59" s="6">
        <f t="shared" si="45"/>
        <v>-152.84999999999991</v>
      </c>
      <c r="M59" s="2"/>
      <c r="N59" s="7">
        <f t="shared" si="46"/>
        <v>-4.0416727263111948E-2</v>
      </c>
      <c r="O59" s="11"/>
      <c r="P59" s="6">
        <v>15344</v>
      </c>
      <c r="Q59" s="2"/>
      <c r="R59" s="7">
        <f t="shared" si="47"/>
        <v>0.31566761829152307</v>
      </c>
      <c r="S59" s="2"/>
      <c r="T59" s="6">
        <v>15913.85</v>
      </c>
      <c r="U59" s="2"/>
      <c r="V59" s="7">
        <f t="shared" si="48"/>
        <v>6.1527293956628144</v>
      </c>
      <c r="W59" s="2"/>
      <c r="X59" s="6">
        <f t="shared" si="49"/>
        <v>-569.85000000000036</v>
      </c>
      <c r="Y59" s="2"/>
      <c r="Z59" s="7">
        <f t="shared" si="50"/>
        <v>-3.580843102077752E-2</v>
      </c>
    </row>
    <row r="60" spans="1:26" s="28" customFormat="1" outlineLevel="1" collapsed="1" x14ac:dyDescent="0.25">
      <c r="A60" s="27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SUM(OSRRefD22_10x_0)</f>
        <v>166.39999999999998</v>
      </c>
      <c r="E60" s="1"/>
      <c r="F60" s="5">
        <f t="shared" si="43"/>
        <v>6.4421090938654776E-3</v>
      </c>
      <c r="G60" s="1"/>
      <c r="H60" s="1">
        <f>SUM(OSRRefH22_10x_0)</f>
        <v>22.02</v>
      </c>
      <c r="I60" s="1"/>
      <c r="J60" s="5">
        <f t="shared" si="44"/>
        <v>0</v>
      </c>
      <c r="K60" s="1"/>
      <c r="L60" s="1">
        <f t="shared" si="45"/>
        <v>144.37999999999997</v>
      </c>
      <c r="M60" s="1"/>
      <c r="N60" s="5">
        <f t="shared" si="46"/>
        <v>6.5567665758401441</v>
      </c>
      <c r="O60" s="14"/>
      <c r="P60" s="1">
        <f>SUM(OSRRefP22_10x_0)</f>
        <v>2364.83</v>
      </c>
      <c r="Q60" s="1"/>
      <c r="R60" s="5">
        <f t="shared" si="47"/>
        <v>4.8650955015924299E-2</v>
      </c>
      <c r="S60" s="1"/>
      <c r="T60" s="1">
        <f>SUM(OSRRefT22_10x_0)</f>
        <v>1108.73</v>
      </c>
      <c r="U60" s="1"/>
      <c r="V60" s="5">
        <f t="shared" si="48"/>
        <v>0.42866532378106065</v>
      </c>
      <c r="W60" s="1"/>
      <c r="X60" s="1">
        <f t="shared" si="49"/>
        <v>1256.0999999999999</v>
      </c>
      <c r="Y60" s="1"/>
      <c r="Z60" s="5">
        <f t="shared" si="50"/>
        <v>1.1329178429374147</v>
      </c>
    </row>
    <row r="61" spans="1:26" s="24" customFormat="1" hidden="1" outlineLevel="2" x14ac:dyDescent="0.25">
      <c r="A61" s="29"/>
      <c r="B61" s="11" t="str">
        <f>CONCATENATE("          ", "6373", " - ", "MAINTENANCE CONTRACTS")</f>
        <v xml:space="preserve">          6373 - MAINTENANCE CONTRACTS</v>
      </c>
      <c r="C61" s="11"/>
      <c r="D61" s="6">
        <v>-71.86</v>
      </c>
      <c r="E61" s="2"/>
      <c r="F61" s="7">
        <f t="shared" si="43"/>
        <v>-2.7820310065214742E-3</v>
      </c>
      <c r="G61" s="2"/>
      <c r="H61" s="6"/>
      <c r="I61" s="2"/>
      <c r="J61" s="7">
        <f t="shared" si="44"/>
        <v>0</v>
      </c>
      <c r="K61" s="2"/>
      <c r="L61" s="6">
        <f t="shared" si="45"/>
        <v>-71.86</v>
      </c>
      <c r="M61" s="2"/>
      <c r="N61" s="7">
        <f t="shared" si="46"/>
        <v>0</v>
      </c>
      <c r="O61" s="11"/>
      <c r="P61" s="6">
        <v>203.58</v>
      </c>
      <c r="Q61" s="2"/>
      <c r="R61" s="7">
        <f t="shared" si="47"/>
        <v>4.1881917187036148E-3</v>
      </c>
      <c r="S61" s="2"/>
      <c r="T61" s="6">
        <v>655.15</v>
      </c>
      <c r="U61" s="2"/>
      <c r="V61" s="7">
        <f t="shared" si="48"/>
        <v>0.25329889772547137</v>
      </c>
      <c r="W61" s="2"/>
      <c r="X61" s="6">
        <f t="shared" si="49"/>
        <v>-451.56999999999994</v>
      </c>
      <c r="Y61" s="2"/>
      <c r="Z61" s="7">
        <f t="shared" si="50"/>
        <v>-0.68926200106845759</v>
      </c>
    </row>
    <row r="62" spans="1:26" s="24" customFormat="1" hidden="1" outlineLevel="2" x14ac:dyDescent="0.25">
      <c r="A62" s="29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238.26</v>
      </c>
      <c r="E62" s="2"/>
      <c r="F62" s="7">
        <f t="shared" si="43"/>
        <v>9.2241401003869527E-3</v>
      </c>
      <c r="G62" s="2"/>
      <c r="H62" s="6">
        <v>22.02</v>
      </c>
      <c r="I62" s="2"/>
      <c r="J62" s="7">
        <f t="shared" si="44"/>
        <v>0</v>
      </c>
      <c r="K62" s="2"/>
      <c r="L62" s="6">
        <f t="shared" si="45"/>
        <v>216.23999999999998</v>
      </c>
      <c r="M62" s="2"/>
      <c r="N62" s="7">
        <f t="shared" si="46"/>
        <v>9.8201634877384194</v>
      </c>
      <c r="O62" s="11"/>
      <c r="P62" s="6">
        <v>2161.25</v>
      </c>
      <c r="Q62" s="2"/>
      <c r="R62" s="7">
        <f t="shared" si="47"/>
        <v>4.4462763297220688E-2</v>
      </c>
      <c r="S62" s="2"/>
      <c r="T62" s="6">
        <v>453.58</v>
      </c>
      <c r="U62" s="2"/>
      <c r="V62" s="7">
        <f t="shared" si="48"/>
        <v>0.17536642605558925</v>
      </c>
      <c r="W62" s="2"/>
      <c r="X62" s="6">
        <f t="shared" si="49"/>
        <v>1707.67</v>
      </c>
      <c r="Y62" s="2"/>
      <c r="Z62" s="7">
        <f t="shared" si="50"/>
        <v>3.764870585122801</v>
      </c>
    </row>
    <row r="63" spans="1:26" s="28" customFormat="1" outlineLevel="1" collapsed="1" x14ac:dyDescent="0.25">
      <c r="A63" s="27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SUM(OSRRefD22_11x_0)</f>
        <v>0</v>
      </c>
      <c r="E63" s="1"/>
      <c r="F63" s="5">
        <f t="shared" ref="F63:F68" si="51">IF(D$12=0,0,D63/D$12)</f>
        <v>0</v>
      </c>
      <c r="G63" s="1"/>
      <c r="H63" s="1">
        <f>SUM(OSRRefH22_11x_0)</f>
        <v>185.7</v>
      </c>
      <c r="I63" s="1"/>
      <c r="J63" s="5">
        <f t="shared" ref="J63:J68" si="52">IF(H$12=0,0,H63/H$12)</f>
        <v>0</v>
      </c>
      <c r="K63" s="1"/>
      <c r="L63" s="1">
        <f t="shared" ref="L63:L68" si="53">+D63-H63</f>
        <v>-185.7</v>
      </c>
      <c r="M63" s="1"/>
      <c r="N63" s="5">
        <f t="shared" ref="N63:N68" si="54">IF(H63=0,0,L63/H63)</f>
        <v>-1</v>
      </c>
      <c r="O63" s="14"/>
      <c r="P63" s="1">
        <f>SUM(OSRRefP22_11x_0)</f>
        <v>0</v>
      </c>
      <c r="Q63" s="1"/>
      <c r="R63" s="5">
        <f t="shared" ref="R63:R68" si="55">IF(P$12=0,0,P63/P$12)</f>
        <v>0</v>
      </c>
      <c r="S63" s="1"/>
      <c r="T63" s="1">
        <f>SUM(OSRRefT22_11x_0)</f>
        <v>185.7</v>
      </c>
      <c r="U63" s="1"/>
      <c r="V63" s="5">
        <f t="shared" ref="V63:V68" si="56">IF(T$12=0,0,T63/T$12)</f>
        <v>7.1796695882805517E-2</v>
      </c>
      <c r="W63" s="1"/>
      <c r="X63" s="1">
        <f t="shared" ref="X63:X68" si="57">+P63-T63</f>
        <v>-185.7</v>
      </c>
      <c r="Y63" s="1"/>
      <c r="Z63" s="5">
        <f t="shared" ref="Z63:Z68" si="58">IF(T63=0,0,X63/T63)</f>
        <v>-1</v>
      </c>
    </row>
    <row r="64" spans="1:26" s="24" customFormat="1" hidden="1" outlineLevel="2" x14ac:dyDescent="0.25">
      <c r="A64" s="29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51"/>
        <v>0</v>
      </c>
      <c r="G64" s="2"/>
      <c r="H64" s="6">
        <v>185.7</v>
      </c>
      <c r="I64" s="2"/>
      <c r="J64" s="7">
        <f t="shared" si="52"/>
        <v>0</v>
      </c>
      <c r="K64" s="2"/>
      <c r="L64" s="6">
        <f t="shared" si="53"/>
        <v>-185.7</v>
      </c>
      <c r="M64" s="2"/>
      <c r="N64" s="7">
        <f t="shared" si="54"/>
        <v>-1</v>
      </c>
      <c r="O64" s="11"/>
      <c r="P64" s="6"/>
      <c r="Q64" s="2"/>
      <c r="R64" s="7">
        <f t="shared" si="55"/>
        <v>0</v>
      </c>
      <c r="S64" s="2"/>
      <c r="T64" s="6">
        <v>185.7</v>
      </c>
      <c r="U64" s="2"/>
      <c r="V64" s="7">
        <f t="shared" si="56"/>
        <v>7.1796695882805517E-2</v>
      </c>
      <c r="W64" s="2"/>
      <c r="X64" s="6">
        <f t="shared" si="57"/>
        <v>-185.7</v>
      </c>
      <c r="Y64" s="2"/>
      <c r="Z64" s="7">
        <f t="shared" si="58"/>
        <v>-1</v>
      </c>
    </row>
    <row r="65" spans="1:26" s="28" customFormat="1" outlineLevel="1" collapsed="1" x14ac:dyDescent="0.25">
      <c r="A65" s="27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SUM(OSRRefD22_12x_0)</f>
        <v>592.53</v>
      </c>
      <c r="E65" s="1"/>
      <c r="F65" s="5">
        <f t="shared" si="51"/>
        <v>2.2939560705457402E-2</v>
      </c>
      <c r="G65" s="1"/>
      <c r="H65" s="1">
        <f>SUM(OSRRefH22_12x_0)</f>
        <v>558</v>
      </c>
      <c r="I65" s="1"/>
      <c r="J65" s="5">
        <f t="shared" si="52"/>
        <v>0</v>
      </c>
      <c r="K65" s="1"/>
      <c r="L65" s="1">
        <f t="shared" si="53"/>
        <v>34.529999999999973</v>
      </c>
      <c r="M65" s="1"/>
      <c r="N65" s="5">
        <f t="shared" si="54"/>
        <v>6.1881720430107479E-2</v>
      </c>
      <c r="O65" s="14"/>
      <c r="P65" s="1">
        <f>SUM(OSRRefP22_12x_0)</f>
        <v>8944.4</v>
      </c>
      <c r="Q65" s="1"/>
      <c r="R65" s="5">
        <f t="shared" si="55"/>
        <v>0.18401052170533749</v>
      </c>
      <c r="S65" s="1"/>
      <c r="T65" s="1">
        <f>SUM(OSRRefT22_12x_0)</f>
        <v>-974.76</v>
      </c>
      <c r="U65" s="1"/>
      <c r="V65" s="5">
        <f t="shared" si="56"/>
        <v>-0.3768688598746554</v>
      </c>
      <c r="W65" s="1"/>
      <c r="X65" s="1">
        <f t="shared" si="57"/>
        <v>9919.16</v>
      </c>
      <c r="Y65" s="1"/>
      <c r="Z65" s="5">
        <f t="shared" si="58"/>
        <v>-10.17600229800156</v>
      </c>
    </row>
    <row r="66" spans="1:26" s="24" customFormat="1" hidden="1" outlineLevel="2" x14ac:dyDescent="0.25">
      <c r="A66" s="29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488.65</v>
      </c>
      <c r="E66" s="2"/>
      <c r="F66" s="7">
        <f t="shared" si="51"/>
        <v>1.8917888273541864E-2</v>
      </c>
      <c r="G66" s="2"/>
      <c r="H66" s="6">
        <v>558</v>
      </c>
      <c r="I66" s="2"/>
      <c r="J66" s="7">
        <f t="shared" si="52"/>
        <v>0</v>
      </c>
      <c r="K66" s="2"/>
      <c r="L66" s="6">
        <f t="shared" si="53"/>
        <v>-69.350000000000023</v>
      </c>
      <c r="M66" s="2"/>
      <c r="N66" s="7">
        <f t="shared" si="54"/>
        <v>-0.12428315412186385</v>
      </c>
      <c r="O66" s="11"/>
      <c r="P66" s="6">
        <v>1281</v>
      </c>
      <c r="Q66" s="2"/>
      <c r="R66" s="7">
        <f t="shared" si="55"/>
        <v>2.6353637840943758E-2</v>
      </c>
      <c r="S66" s="2"/>
      <c r="T66" s="6">
        <v>-170.16</v>
      </c>
      <c r="U66" s="2"/>
      <c r="V66" s="7">
        <f t="shared" si="56"/>
        <v>-6.5788507115876069E-2</v>
      </c>
      <c r="W66" s="2"/>
      <c r="X66" s="6">
        <f t="shared" si="57"/>
        <v>1451.16</v>
      </c>
      <c r="Y66" s="2"/>
      <c r="Z66" s="7">
        <f t="shared" si="58"/>
        <v>-8.5282087447108612</v>
      </c>
    </row>
    <row r="67" spans="1:26" s="24" customFormat="1" hidden="1" outlineLevel="2" x14ac:dyDescent="0.25">
      <c r="A67" s="29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51"/>
        <v>0</v>
      </c>
      <c r="G67" s="2"/>
      <c r="H67" s="6"/>
      <c r="I67" s="2"/>
      <c r="J67" s="7">
        <f t="shared" si="52"/>
        <v>0</v>
      </c>
      <c r="K67" s="2"/>
      <c r="L67" s="6">
        <f t="shared" si="53"/>
        <v>0</v>
      </c>
      <c r="M67" s="2"/>
      <c r="N67" s="7">
        <f t="shared" si="54"/>
        <v>0</v>
      </c>
      <c r="O67" s="11"/>
      <c r="P67" s="6">
        <v>7455.64</v>
      </c>
      <c r="Q67" s="2"/>
      <c r="R67" s="7">
        <f t="shared" si="55"/>
        <v>0.15338269822986256</v>
      </c>
      <c r="S67" s="2"/>
      <c r="T67" s="6">
        <v>-804.6</v>
      </c>
      <c r="U67" s="2"/>
      <c r="V67" s="7">
        <f t="shared" si="56"/>
        <v>-0.31108035275877932</v>
      </c>
      <c r="W67" s="2"/>
      <c r="X67" s="6">
        <f t="shared" si="57"/>
        <v>8260.24</v>
      </c>
      <c r="Y67" s="2"/>
      <c r="Z67" s="7">
        <f t="shared" si="58"/>
        <v>-10.266268953517276</v>
      </c>
    </row>
    <row r="68" spans="1:26" s="24" customFormat="1" hidden="1" outlineLevel="2" x14ac:dyDescent="0.25">
      <c r="A68" s="29"/>
      <c r="B68" s="11" t="str">
        <f>CONCATENATE("          ", "6286", " - ", "LAUNDRY EXPENSE")</f>
        <v xml:space="preserve">          6286 - LAUNDRY EXPENSE</v>
      </c>
      <c r="C68" s="11"/>
      <c r="D68" s="6">
        <v>103.88</v>
      </c>
      <c r="E68" s="2"/>
      <c r="F68" s="7">
        <f t="shared" si="51"/>
        <v>4.0216724319155402E-3</v>
      </c>
      <c r="G68" s="2"/>
      <c r="H68" s="6"/>
      <c r="I68" s="2"/>
      <c r="J68" s="7">
        <f t="shared" si="52"/>
        <v>0</v>
      </c>
      <c r="K68" s="2"/>
      <c r="L68" s="6">
        <f t="shared" si="53"/>
        <v>103.88</v>
      </c>
      <c r="M68" s="2"/>
      <c r="N68" s="7">
        <f t="shared" si="54"/>
        <v>0</v>
      </c>
      <c r="O68" s="11"/>
      <c r="P68" s="6">
        <v>207.76</v>
      </c>
      <c r="Q68" s="2"/>
      <c r="R68" s="7">
        <f t="shared" si="55"/>
        <v>4.274185634531206E-3</v>
      </c>
      <c r="S68" s="2"/>
      <c r="T68" s="6"/>
      <c r="U68" s="2"/>
      <c r="V68" s="7">
        <f t="shared" si="56"/>
        <v>0</v>
      </c>
      <c r="W68" s="2"/>
      <c r="X68" s="6">
        <f t="shared" si="57"/>
        <v>207.76</v>
      </c>
      <c r="Y68" s="2"/>
      <c r="Z68" s="7">
        <f t="shared" si="58"/>
        <v>0</v>
      </c>
    </row>
    <row r="69" spans="1:26" s="28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SUM(OSRRefD22_13x_0)</f>
        <v>1443.7600000000002</v>
      </c>
      <c r="E69" s="1"/>
      <c r="F69" s="5">
        <f t="shared" ref="F69:F74" si="59">IF(D$12=0,0,D69/D$12)</f>
        <v>5.5894587892783801E-2</v>
      </c>
      <c r="G69" s="1"/>
      <c r="H69" s="1">
        <f>SUM(OSRRefH22_13x_0)</f>
        <v>41</v>
      </c>
      <c r="I69" s="1"/>
      <c r="J69" s="5">
        <f t="shared" ref="J69:J74" si="60">IF(H$12=0,0,H69/H$12)</f>
        <v>0</v>
      </c>
      <c r="K69" s="1"/>
      <c r="L69" s="1">
        <f t="shared" ref="L69:L74" si="61">+D69-H69</f>
        <v>1402.7600000000002</v>
      </c>
      <c r="M69" s="1"/>
      <c r="N69" s="5">
        <f t="shared" ref="N69:N74" si="62">IF(H69=0,0,L69/H69)</f>
        <v>34.21365853658537</v>
      </c>
      <c r="O69" s="14"/>
      <c r="P69" s="1">
        <f>SUM(OSRRefP22_13x_0)</f>
        <v>2463.6600000000003</v>
      </c>
      <c r="Q69" s="1"/>
      <c r="R69" s="5">
        <f t="shared" ref="R69:R74" si="63">IF(P$12=0,0,P69/P$12)</f>
        <v>5.068415566215418E-2</v>
      </c>
      <c r="S69" s="1"/>
      <c r="T69" s="1">
        <f>SUM(OSRRefT22_13x_0)</f>
        <v>1094.0899999999999</v>
      </c>
      <c r="U69" s="1"/>
      <c r="V69" s="5">
        <f t="shared" ref="V69:V74" si="64">IF(T$12=0,0,T69/T$12)</f>
        <v>0.42300509961453248</v>
      </c>
      <c r="W69" s="1"/>
      <c r="X69" s="1">
        <f t="shared" ref="X69:X74" si="65">+P69-T69</f>
        <v>1369.5700000000004</v>
      </c>
      <c r="Y69" s="1"/>
      <c r="Z69" s="5">
        <f t="shared" ref="Z69:Z74" si="66">IF(T69=0,0,X69/T69)</f>
        <v>1.2517891581131355</v>
      </c>
    </row>
    <row r="70" spans="1:26" s="24" customFormat="1" hidden="1" outlineLevel="2" x14ac:dyDescent="0.25">
      <c r="A70" s="29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1194.8900000000001</v>
      </c>
      <c r="E70" s="2"/>
      <c r="F70" s="7">
        <f t="shared" si="59"/>
        <v>4.6259685908467081E-2</v>
      </c>
      <c r="G70" s="2"/>
      <c r="H70" s="6"/>
      <c r="I70" s="2"/>
      <c r="J70" s="7">
        <f t="shared" si="60"/>
        <v>0</v>
      </c>
      <c r="K70" s="2"/>
      <c r="L70" s="6">
        <f t="shared" si="61"/>
        <v>1194.8900000000001</v>
      </c>
      <c r="M70" s="2"/>
      <c r="N70" s="7">
        <f t="shared" si="62"/>
        <v>0</v>
      </c>
      <c r="O70" s="11"/>
      <c r="P70" s="6">
        <v>1194.8900000000001</v>
      </c>
      <c r="Q70" s="2"/>
      <c r="R70" s="7">
        <f t="shared" si="63"/>
        <v>2.45821220294811E-2</v>
      </c>
      <c r="S70" s="2"/>
      <c r="T70" s="6">
        <v>316.67</v>
      </c>
      <c r="U70" s="2"/>
      <c r="V70" s="7">
        <f t="shared" si="64"/>
        <v>0.12243327778787304</v>
      </c>
      <c r="W70" s="2"/>
      <c r="X70" s="6">
        <f t="shared" si="65"/>
        <v>878.22</v>
      </c>
      <c r="Y70" s="2"/>
      <c r="Z70" s="7">
        <f t="shared" si="66"/>
        <v>2.7732971231881769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59"/>
        <v>0</v>
      </c>
      <c r="G71" s="2"/>
      <c r="H71" s="6"/>
      <c r="I71" s="2"/>
      <c r="J71" s="7">
        <f t="shared" si="60"/>
        <v>0</v>
      </c>
      <c r="K71" s="2"/>
      <c r="L71" s="6">
        <f t="shared" si="61"/>
        <v>0</v>
      </c>
      <c r="M71" s="2"/>
      <c r="N71" s="7">
        <f t="shared" si="62"/>
        <v>0</v>
      </c>
      <c r="O71" s="11"/>
      <c r="P71" s="6"/>
      <c r="Q71" s="2"/>
      <c r="R71" s="7">
        <f t="shared" si="63"/>
        <v>0</v>
      </c>
      <c r="S71" s="2"/>
      <c r="T71" s="6">
        <v>207.27</v>
      </c>
      <c r="U71" s="2"/>
      <c r="V71" s="7">
        <f t="shared" si="64"/>
        <v>8.0136247472423802E-2</v>
      </c>
      <c r="W71" s="2"/>
      <c r="X71" s="6">
        <f t="shared" si="65"/>
        <v>-207.27</v>
      </c>
      <c r="Y71" s="2"/>
      <c r="Z71" s="7">
        <f t="shared" si="66"/>
        <v>-1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9"/>
        <v>0</v>
      </c>
      <c r="G72" s="2"/>
      <c r="H72" s="6"/>
      <c r="I72" s="2"/>
      <c r="J72" s="7">
        <f t="shared" si="60"/>
        <v>0</v>
      </c>
      <c r="K72" s="2"/>
      <c r="L72" s="6">
        <f t="shared" si="61"/>
        <v>0</v>
      </c>
      <c r="M72" s="2"/>
      <c r="N72" s="7">
        <f t="shared" si="62"/>
        <v>0</v>
      </c>
      <c r="O72" s="11"/>
      <c r="P72" s="6">
        <v>527.17999999999995</v>
      </c>
      <c r="Q72" s="2"/>
      <c r="R72" s="7">
        <f t="shared" si="63"/>
        <v>1.0845519747844441E-2</v>
      </c>
      <c r="S72" s="2"/>
      <c r="T72" s="6">
        <v>317.57</v>
      </c>
      <c r="U72" s="2"/>
      <c r="V72" s="7">
        <f t="shared" si="64"/>
        <v>0.12278124238827436</v>
      </c>
      <c r="W72" s="2"/>
      <c r="X72" s="6">
        <f t="shared" si="65"/>
        <v>209.60999999999996</v>
      </c>
      <c r="Y72" s="2"/>
      <c r="Z72" s="7">
        <f t="shared" si="66"/>
        <v>0.66004345498630212</v>
      </c>
    </row>
    <row r="73" spans="1:26" s="24" customFormat="1" hidden="1" outlineLevel="2" x14ac:dyDescent="0.25">
      <c r="A73" s="29"/>
      <c r="B73" s="11" t="str">
        <f>CONCATENATE("          ", "6241", " - ", "OFFICE EXPENSE")</f>
        <v xml:space="preserve">          6241 - OFFICE EXPENSE</v>
      </c>
      <c r="C73" s="11"/>
      <c r="D73" s="6">
        <v>42.74</v>
      </c>
      <c r="E73" s="2"/>
      <c r="F73" s="7">
        <f t="shared" si="59"/>
        <v>1.6546619150950154E-3</v>
      </c>
      <c r="G73" s="2"/>
      <c r="H73" s="6"/>
      <c r="I73" s="2"/>
      <c r="J73" s="7">
        <f t="shared" si="60"/>
        <v>0</v>
      </c>
      <c r="K73" s="2"/>
      <c r="L73" s="6">
        <f t="shared" si="61"/>
        <v>42.74</v>
      </c>
      <c r="M73" s="2"/>
      <c r="N73" s="7">
        <f t="shared" si="62"/>
        <v>0</v>
      </c>
      <c r="O73" s="11"/>
      <c r="P73" s="6">
        <v>177.48</v>
      </c>
      <c r="Q73" s="2"/>
      <c r="R73" s="7">
        <f t="shared" si="63"/>
        <v>3.6512440624595611E-3</v>
      </c>
      <c r="S73" s="2"/>
      <c r="T73" s="6">
        <v>131.30000000000001</v>
      </c>
      <c r="U73" s="2"/>
      <c r="V73" s="7">
        <f t="shared" si="64"/>
        <v>5.0764168925214674E-2</v>
      </c>
      <c r="W73" s="2"/>
      <c r="X73" s="6">
        <f t="shared" si="65"/>
        <v>46.179999999999978</v>
      </c>
      <c r="Y73" s="2"/>
      <c r="Z73" s="7">
        <f t="shared" si="66"/>
        <v>0.35171363290175151</v>
      </c>
    </row>
    <row r="74" spans="1:26" s="24" customFormat="1" hidden="1" outlineLevel="2" x14ac:dyDescent="0.25">
      <c r="A74" s="29"/>
      <c r="B74" s="11" t="str">
        <f>CONCATENATE("          ", "6247", " - ", "STORE SUPPLIES")</f>
        <v xml:space="preserve">          6247 - STORE SUPPLIES</v>
      </c>
      <c r="C74" s="11"/>
      <c r="D74" s="6">
        <v>206.13</v>
      </c>
      <c r="E74" s="2"/>
      <c r="F74" s="7">
        <f t="shared" si="59"/>
        <v>7.9802400692217008E-3</v>
      </c>
      <c r="G74" s="2"/>
      <c r="H74" s="6">
        <v>41</v>
      </c>
      <c r="I74" s="2"/>
      <c r="J74" s="7">
        <f t="shared" si="60"/>
        <v>0</v>
      </c>
      <c r="K74" s="2"/>
      <c r="L74" s="6">
        <f t="shared" si="61"/>
        <v>165.13</v>
      </c>
      <c r="M74" s="2"/>
      <c r="N74" s="7">
        <f t="shared" si="62"/>
        <v>4.0275609756097559</v>
      </c>
      <c r="O74" s="11"/>
      <c r="P74" s="6">
        <v>564.11</v>
      </c>
      <c r="Q74" s="2"/>
      <c r="R74" s="7">
        <f t="shared" si="63"/>
        <v>1.1605269822369074E-2</v>
      </c>
      <c r="S74" s="2"/>
      <c r="T74" s="6">
        <v>121.28</v>
      </c>
      <c r="U74" s="2"/>
      <c r="V74" s="7">
        <f t="shared" si="64"/>
        <v>4.6890163040746648E-2</v>
      </c>
      <c r="W74" s="2"/>
      <c r="X74" s="6">
        <f t="shared" si="65"/>
        <v>442.83000000000004</v>
      </c>
      <c r="Y74" s="2"/>
      <c r="Z74" s="7">
        <f t="shared" si="66"/>
        <v>3.6513027704485492</v>
      </c>
    </row>
    <row r="75" spans="1:26" s="28" customFormat="1" outlineLevel="1" collapsed="1" x14ac:dyDescent="0.25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SUM(OSRRefD22_14x_0)</f>
        <v>-146.5</v>
      </c>
      <c r="E75" s="1"/>
      <c r="F75" s="5">
        <f t="shared" ref="F75:F78" si="67">IF(D$12=0,0,D75/D$12)</f>
        <v>-5.6716885952601721E-3</v>
      </c>
      <c r="G75" s="1"/>
      <c r="H75" s="1">
        <f>SUM(OSRRefH22_14x_0)</f>
        <v>1151</v>
      </c>
      <c r="I75" s="1"/>
      <c r="J75" s="5">
        <f t="shared" ref="J75:J78" si="68">IF(H$12=0,0,H75/H$12)</f>
        <v>0</v>
      </c>
      <c r="K75" s="1"/>
      <c r="L75" s="1">
        <f t="shared" ref="L75:L78" si="69">+D75-H75</f>
        <v>-1297.5</v>
      </c>
      <c r="M75" s="1"/>
      <c r="N75" s="5">
        <f t="shared" ref="N75:N78" si="70">IF(H75=0,0,L75/H75)</f>
        <v>-1.1272806255430061</v>
      </c>
      <c r="O75" s="14"/>
      <c r="P75" s="1">
        <f>SUM(OSRRefP22_14x_0)</f>
        <v>499</v>
      </c>
      <c r="Q75" s="1"/>
      <c r="R75" s="5">
        <f t="shared" ref="R75:R78" si="71">IF(P$12=0,0,P75/P$12)</f>
        <v>1.0265780860757951E-2</v>
      </c>
      <c r="S75" s="1"/>
      <c r="T75" s="1">
        <f>SUM(OSRRefT22_14x_0)</f>
        <v>2257.2399999999998</v>
      </c>
      <c r="U75" s="1"/>
      <c r="V75" s="5">
        <f t="shared" ref="V75:V78" si="72">IF(T$12=0,0,T75/T$12)</f>
        <v>0.87271068289985954</v>
      </c>
      <c r="W75" s="1"/>
      <c r="X75" s="1">
        <f t="shared" ref="X75:X78" si="73">+P75-T75</f>
        <v>-1758.2399999999998</v>
      </c>
      <c r="Y75" s="1"/>
      <c r="Z75" s="5">
        <f t="shared" ref="Z75:Z78" si="74">IF(T75=0,0,X75/T75)</f>
        <v>-0.77893356488454923</v>
      </c>
    </row>
    <row r="76" spans="1:26" s="24" customFormat="1" hidden="1" outlineLevel="2" x14ac:dyDescent="0.25">
      <c r="A76" s="29"/>
      <c r="B76" s="11" t="str">
        <f>CONCATENATE("          ", "6309", " - ", "TELEPHONE")</f>
        <v xml:space="preserve">          6309 - TELEPHONE</v>
      </c>
      <c r="C76" s="11"/>
      <c r="D76" s="6">
        <v>-146.5</v>
      </c>
      <c r="E76" s="2"/>
      <c r="F76" s="7">
        <f t="shared" si="67"/>
        <v>-5.6716885952601721E-3</v>
      </c>
      <c r="G76" s="2"/>
      <c r="H76" s="6">
        <v>1151</v>
      </c>
      <c r="I76" s="2"/>
      <c r="J76" s="7">
        <f t="shared" si="68"/>
        <v>0</v>
      </c>
      <c r="K76" s="2"/>
      <c r="L76" s="6">
        <f t="shared" si="69"/>
        <v>-1297.5</v>
      </c>
      <c r="M76" s="2"/>
      <c r="N76" s="7">
        <f t="shared" si="70"/>
        <v>-1.1272806255430061</v>
      </c>
      <c r="O76" s="11"/>
      <c r="P76" s="6">
        <v>499</v>
      </c>
      <c r="Q76" s="2"/>
      <c r="R76" s="7">
        <f t="shared" si="71"/>
        <v>1.0265780860757951E-2</v>
      </c>
      <c r="S76" s="2"/>
      <c r="T76" s="6">
        <v>2257.2399999999998</v>
      </c>
      <c r="U76" s="2"/>
      <c r="V76" s="7">
        <f t="shared" si="72"/>
        <v>0.87271068289985954</v>
      </c>
      <c r="W76" s="2"/>
      <c r="X76" s="6">
        <f t="shared" si="73"/>
        <v>-1758.2399999999998</v>
      </c>
      <c r="Y76" s="2"/>
      <c r="Z76" s="7">
        <f t="shared" si="74"/>
        <v>-0.77893356488454923</v>
      </c>
    </row>
    <row r="77" spans="1:26" s="28" customFormat="1" outlineLevel="1" collapsed="1" x14ac:dyDescent="0.25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SUM(OSRRefD22_15x_0)</f>
        <v>100</v>
      </c>
      <c r="E77" s="1"/>
      <c r="F77" s="5">
        <f t="shared" si="67"/>
        <v>3.8714597919864654E-3</v>
      </c>
      <c r="G77" s="1"/>
      <c r="H77" s="1">
        <f>SUM(OSRRefH22_15x_0)</f>
        <v>1136</v>
      </c>
      <c r="I77" s="1"/>
      <c r="J77" s="5">
        <f t="shared" si="68"/>
        <v>0</v>
      </c>
      <c r="K77" s="1"/>
      <c r="L77" s="1">
        <f t="shared" si="69"/>
        <v>-1036</v>
      </c>
      <c r="M77" s="1"/>
      <c r="N77" s="5">
        <f t="shared" si="70"/>
        <v>-0.9119718309859155</v>
      </c>
      <c r="O77" s="14"/>
      <c r="P77" s="1">
        <f>SUM(OSRRefP22_15x_0)</f>
        <v>400</v>
      </c>
      <c r="Q77" s="1"/>
      <c r="R77" s="5">
        <f t="shared" si="71"/>
        <v>8.2290828543149907E-3</v>
      </c>
      <c r="S77" s="1"/>
      <c r="T77" s="1">
        <f>SUM(OSRRefT22_15x_0)</f>
        <v>1286</v>
      </c>
      <c r="U77" s="1"/>
      <c r="V77" s="5">
        <f t="shared" si="72"/>
        <v>0.4972027512401071</v>
      </c>
      <c r="W77" s="1"/>
      <c r="X77" s="1">
        <f t="shared" si="73"/>
        <v>-886</v>
      </c>
      <c r="Y77" s="1"/>
      <c r="Z77" s="5">
        <f t="shared" si="74"/>
        <v>-0.68895800933125972</v>
      </c>
    </row>
    <row r="78" spans="1:26" s="24" customFormat="1" hidden="1" outlineLevel="2" x14ac:dyDescent="0.25">
      <c r="A78" s="29"/>
      <c r="B78" s="11" t="str">
        <f>CONCATENATE("          ", "6274", " - ", "UTILITIES")</f>
        <v xml:space="preserve">          6274 - UTILITIES</v>
      </c>
      <c r="C78" s="11"/>
      <c r="D78" s="6">
        <v>100</v>
      </c>
      <c r="E78" s="2"/>
      <c r="F78" s="7">
        <f t="shared" si="67"/>
        <v>3.8714597919864654E-3</v>
      </c>
      <c r="G78" s="2"/>
      <c r="H78" s="6">
        <v>1136</v>
      </c>
      <c r="I78" s="2"/>
      <c r="J78" s="7">
        <f t="shared" si="68"/>
        <v>0</v>
      </c>
      <c r="K78" s="2"/>
      <c r="L78" s="6">
        <f t="shared" si="69"/>
        <v>-1036</v>
      </c>
      <c r="M78" s="2"/>
      <c r="N78" s="7">
        <f t="shared" si="70"/>
        <v>-0.9119718309859155</v>
      </c>
      <c r="O78" s="11"/>
      <c r="P78" s="6">
        <v>400</v>
      </c>
      <c r="Q78" s="2"/>
      <c r="R78" s="7">
        <f t="shared" si="71"/>
        <v>8.2290828543149907E-3</v>
      </c>
      <c r="S78" s="2"/>
      <c r="T78" s="6">
        <v>1286</v>
      </c>
      <c r="U78" s="2"/>
      <c r="V78" s="7">
        <f t="shared" si="72"/>
        <v>0.4972027512401071</v>
      </c>
      <c r="W78" s="2"/>
      <c r="X78" s="6">
        <f t="shared" si="73"/>
        <v>-886</v>
      </c>
      <c r="Y78" s="2"/>
      <c r="Z78" s="7">
        <f t="shared" si="74"/>
        <v>-0.68895800933125972</v>
      </c>
    </row>
    <row r="79" spans="1:26" s="56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5" t="s">
        <v>292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6" t="s">
        <v>276</v>
      </c>
      <c r="C82" s="26"/>
      <c r="D82" s="22">
        <f>+D27-D29+D80</f>
        <v>-6717.0600000000049</v>
      </c>
      <c r="E82" s="13"/>
      <c r="F82" s="20">
        <f>IF(D$12=0,0,D82/D$12)</f>
        <v>-0.26004827710360628</v>
      </c>
      <c r="G82" s="13"/>
      <c r="H82" s="22">
        <f>+H27-H29+H80</f>
        <v>-39453.07</v>
      </c>
      <c r="I82" s="13"/>
      <c r="J82" s="20">
        <f>IF(H$12=0,0,H82/H$12)</f>
        <v>0</v>
      </c>
      <c r="K82" s="15"/>
      <c r="L82" s="22">
        <f>+D82-H82</f>
        <v>32736.009999999995</v>
      </c>
      <c r="M82" s="15"/>
      <c r="N82" s="20">
        <f>IF(H82=0,0,L82/H82)</f>
        <v>-0.8297455685958024</v>
      </c>
      <c r="O82" s="25"/>
      <c r="P82" s="22">
        <f>+P27-P29+P80</f>
        <v>-53644.039999999994</v>
      </c>
      <c r="Q82" s="13"/>
      <c r="R82" s="20">
        <f>IF(P$12=0,0,P82/P$12)</f>
        <v>-1.1036031245004687</v>
      </c>
      <c r="S82" s="13"/>
      <c r="T82" s="22">
        <f>+T27-T29+T80</f>
        <v>-132090.85</v>
      </c>
      <c r="U82" s="13"/>
      <c r="V82" s="20">
        <f>IF(T$12=0,0,T82/T$12)</f>
        <v>-51.069933152133984</v>
      </c>
      <c r="W82" s="15"/>
      <c r="X82" s="22">
        <f>+P82-T82</f>
        <v>78446.810000000012</v>
      </c>
      <c r="Y82" s="15"/>
      <c r="Z82" s="20">
        <f>IF(T82=0,0,X82/T82)</f>
        <v>-0.59388526911591533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127</v>
      </c>
      <c r="C84" s="10"/>
      <c r="D84" s="4">
        <v>2799.33</v>
      </c>
      <c r="E84" s="4"/>
      <c r="F84" s="12">
        <f>IF(D$12=0,0,D84/D$12)</f>
        <v>0.10837493539501472</v>
      </c>
      <c r="G84" s="4"/>
      <c r="H84" s="4">
        <v>81.13</v>
      </c>
      <c r="I84" s="4"/>
      <c r="J84" s="12">
        <f>IF(H$12=0,0,H84/H$12)</f>
        <v>0</v>
      </c>
      <c r="K84" s="4"/>
      <c r="L84" s="4">
        <f>+D84-H84</f>
        <v>2718.2</v>
      </c>
      <c r="M84" s="4"/>
      <c r="N84" s="12">
        <f>IF(H84=0,0,L84/H84)</f>
        <v>33.504252434364602</v>
      </c>
      <c r="O84" s="10"/>
      <c r="P84" s="4">
        <v>5618.7</v>
      </c>
      <c r="Q84" s="4"/>
      <c r="R84" s="12">
        <f>IF(P$12=0,0,P84/P$12)</f>
        <v>0.11559186958384909</v>
      </c>
      <c r="S84" s="4"/>
      <c r="T84" s="4">
        <v>560.29</v>
      </c>
      <c r="U84" s="4"/>
      <c r="V84" s="12">
        <f>IF(T$12=0,0,T84/T$12)</f>
        <v>0.21662342884317232</v>
      </c>
      <c r="W84" s="4"/>
      <c r="X84" s="4">
        <f>+P84-T84</f>
        <v>5058.41</v>
      </c>
      <c r="Y84" s="4"/>
      <c r="Z84" s="12">
        <f>IF(T84=0,0,X84/T84)</f>
        <v>9.0281996823073776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125</v>
      </c>
      <c r="C86" s="26"/>
      <c r="D86" s="33">
        <f>+D82-D84</f>
        <v>-9516.3900000000049</v>
      </c>
      <c r="E86" s="13"/>
      <c r="F86" s="31">
        <f>IF(D$12=0,0,D86/D$12)</f>
        <v>-0.36842321249862098</v>
      </c>
      <c r="G86" s="13"/>
      <c r="H86" s="33">
        <f>+H82-H84</f>
        <v>-39534.199999999997</v>
      </c>
      <c r="I86" s="13"/>
      <c r="J86" s="31">
        <f>IF(H$12=0,0,H86/H$12)</f>
        <v>0</v>
      </c>
      <c r="K86" s="15"/>
      <c r="L86" s="33">
        <f>D86-H86</f>
        <v>30017.80999999999</v>
      </c>
      <c r="M86" s="15"/>
      <c r="N86" s="31">
        <f>IF(H86=0,0,L86/H86)</f>
        <v>-0.7592871488483387</v>
      </c>
      <c r="O86" s="25"/>
      <c r="P86" s="33">
        <f>+P82-P84</f>
        <v>-59262.739999999991</v>
      </c>
      <c r="Q86" s="13"/>
      <c r="R86" s="31">
        <f>IF(P$12=0,0,P86/P$12)</f>
        <v>-1.2191949940843179</v>
      </c>
      <c r="S86" s="13"/>
      <c r="T86" s="33">
        <f>+T82-T84</f>
        <v>-132651.14000000001</v>
      </c>
      <c r="U86" s="13"/>
      <c r="V86" s="31">
        <f>IF(T$12=0,0,T86/T$12)</f>
        <v>-51.286556580977162</v>
      </c>
      <c r="W86" s="15"/>
      <c r="X86" s="33">
        <f>P86-T86</f>
        <v>73388.400000000023</v>
      </c>
      <c r="Y86" s="15"/>
      <c r="Z86" s="31">
        <f>IF(T86=0,0,X86/T86)</f>
        <v>-0.55324364343947607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293</v>
      </c>
      <c r="C89" s="26"/>
      <c r="D89" s="34">
        <f>SUM(D86:D88)</f>
        <v>-9516.3900000000049</v>
      </c>
      <c r="E89" s="13"/>
      <c r="F89" s="30">
        <f>IF(D$12=0,0,D89/D$12)</f>
        <v>-0.36842321249862098</v>
      </c>
      <c r="G89" s="13"/>
      <c r="H89" s="34">
        <f>SUM(H86:H88)</f>
        <v>-39534.199999999997</v>
      </c>
      <c r="I89" s="13"/>
      <c r="J89" s="30">
        <f>IF(H$12=0,0,H89/H$12)</f>
        <v>0</v>
      </c>
      <c r="K89" s="15"/>
      <c r="L89" s="34">
        <f>+D89-H89</f>
        <v>30017.80999999999</v>
      </c>
      <c r="M89" s="15"/>
      <c r="N89" s="30">
        <f>IF(H89=0,0,L89/H89)</f>
        <v>-0.7592871488483387</v>
      </c>
      <c r="O89" s="25"/>
      <c r="P89" s="34">
        <f>SUM(P86:P88)</f>
        <v>-59262.739999999991</v>
      </c>
      <c r="Q89" s="13"/>
      <c r="R89" s="30">
        <f>IF(P$12=0,0,P89/P$12)</f>
        <v>-1.2191949940843179</v>
      </c>
      <c r="S89" s="13"/>
      <c r="T89" s="34">
        <f>SUM(T86:T88)</f>
        <v>-132651.14000000001</v>
      </c>
      <c r="U89" s="13"/>
      <c r="V89" s="30">
        <f>IF(T$12=0,0,T89/T$12)</f>
        <v>-51.286556580977162</v>
      </c>
      <c r="W89" s="15"/>
      <c r="X89" s="34">
        <f>+P89-T89</f>
        <v>73388.400000000023</v>
      </c>
      <c r="Y89" s="15"/>
      <c r="Z89" s="30">
        <f>IF(T89=0,0,X89/T89)</f>
        <v>-0.55324364343947607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1">
        <v>44517.96698553241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7" t="s">
        <v>56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8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770.79000000000008</v>
      </c>
      <c r="E18" s="21"/>
      <c r="F18" s="36">
        <f t="shared" ref="F18:F23" si="0">IF(D$12=0,0,D18/D$12)</f>
        <v>0</v>
      </c>
      <c r="G18" s="21"/>
      <c r="H18" s="21">
        <f>SUM(OSRRefH22x_0)</f>
        <v>1206.6200000000001</v>
      </c>
      <c r="I18" s="21"/>
      <c r="J18" s="36">
        <f t="shared" ref="J18:J23" si="1">IF(H$12=0,0,H18/H$12)</f>
        <v>0</v>
      </c>
      <c r="K18" s="4"/>
      <c r="L18" s="21">
        <f t="shared" ref="L18:L23" si="2">+D18-H18</f>
        <v>-435.83000000000004</v>
      </c>
      <c r="M18" s="4"/>
      <c r="N18" s="36">
        <f t="shared" ref="N18:N23" si="3">IF(H18=0,0,L18/H18)</f>
        <v>-0.36119905189703472</v>
      </c>
      <c r="O18" s="10"/>
      <c r="P18" s="21">
        <f>SUM(OSRRefP22x_0)</f>
        <v>3253.9800000000005</v>
      </c>
      <c r="Q18" s="21"/>
      <c r="R18" s="36">
        <f t="shared" ref="R18:R23" si="4">IF(P$12=0,0,P18/P$12)</f>
        <v>0</v>
      </c>
      <c r="S18" s="21"/>
      <c r="T18" s="21">
        <f>SUM(OSRRefT22x_0)</f>
        <v>2788.01</v>
      </c>
      <c r="U18" s="21"/>
      <c r="V18" s="36">
        <f t="shared" ref="V18:V23" si="5">IF(T$12=0,0,T18/T$12)</f>
        <v>0</v>
      </c>
      <c r="W18" s="4"/>
      <c r="X18" s="21">
        <f t="shared" ref="X18:X23" si="6">+P18-T18</f>
        <v>465.97000000000025</v>
      </c>
      <c r="Y18" s="4"/>
      <c r="Z18" s="36">
        <f t="shared" ref="Z18:Z23" si="7">IF(T18=0,0,X18/T18)</f>
        <v>0.16713354686676168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588.16999999999996</v>
      </c>
      <c r="I19" s="1"/>
      <c r="J19" s="5">
        <f t="shared" si="1"/>
        <v>0</v>
      </c>
      <c r="K19" s="1"/>
      <c r="L19" s="1">
        <f t="shared" si="2"/>
        <v>0.7700000000000955</v>
      </c>
      <c r="M19" s="1"/>
      <c r="N19" s="5">
        <f t="shared" si="3"/>
        <v>1.3091453151301419E-3</v>
      </c>
      <c r="O19" s="14"/>
      <c r="P19" s="1">
        <f>SUM(OSRRefP22_0x_0)</f>
        <v>2355.7600000000002</v>
      </c>
      <c r="Q19" s="1"/>
      <c r="R19" s="5">
        <f t="shared" si="4"/>
        <v>0</v>
      </c>
      <c r="S19" s="1"/>
      <c r="T19" s="1">
        <f>SUM(OSRRefT22_0x_0)</f>
        <v>2088.46</v>
      </c>
      <c r="U19" s="1"/>
      <c r="V19" s="5">
        <f t="shared" si="5"/>
        <v>0</v>
      </c>
      <c r="W19" s="1"/>
      <c r="X19" s="1">
        <f t="shared" si="6"/>
        <v>267.30000000000018</v>
      </c>
      <c r="Y19" s="1"/>
      <c r="Z19" s="5">
        <f t="shared" si="7"/>
        <v>0.12798904455914892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588.94000000000005</v>
      </c>
      <c r="E20" s="2"/>
      <c r="F20" s="7">
        <f t="shared" si="0"/>
        <v>0</v>
      </c>
      <c r="G20" s="2"/>
      <c r="H20" s="6">
        <v>588.16999999999996</v>
      </c>
      <c r="I20" s="2"/>
      <c r="J20" s="7">
        <f t="shared" si="1"/>
        <v>0</v>
      </c>
      <c r="K20" s="2"/>
      <c r="L20" s="6">
        <f t="shared" si="2"/>
        <v>0.7700000000000955</v>
      </c>
      <c r="M20" s="2"/>
      <c r="N20" s="7">
        <f t="shared" si="3"/>
        <v>1.3091453151301419E-3</v>
      </c>
      <c r="O20" s="11"/>
      <c r="P20" s="6">
        <v>2355.7600000000002</v>
      </c>
      <c r="Q20" s="2"/>
      <c r="R20" s="7">
        <f t="shared" si="4"/>
        <v>0</v>
      </c>
      <c r="S20" s="2"/>
      <c r="T20" s="6">
        <v>2088.46</v>
      </c>
      <c r="U20" s="2"/>
      <c r="V20" s="7">
        <f t="shared" si="5"/>
        <v>0</v>
      </c>
      <c r="W20" s="2"/>
      <c r="X20" s="6">
        <f t="shared" si="6"/>
        <v>267.30000000000018</v>
      </c>
      <c r="Y20" s="2"/>
      <c r="Z20" s="7">
        <f t="shared" si="7"/>
        <v>0.12798904455914892</v>
      </c>
    </row>
    <row r="21" spans="1:26" s="28" customFormat="1" outlineLevel="1" collapsed="1" x14ac:dyDescent="0.25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22.02</v>
      </c>
      <c r="I21" s="1"/>
      <c r="J21" s="5">
        <f t="shared" si="1"/>
        <v>0</v>
      </c>
      <c r="K21" s="1"/>
      <c r="L21" s="1">
        <f t="shared" si="2"/>
        <v>-22.02</v>
      </c>
      <c r="M21" s="1"/>
      <c r="N21" s="5">
        <f t="shared" si="3"/>
        <v>-1</v>
      </c>
      <c r="O21" s="14"/>
      <c r="P21" s="1">
        <f>SUM(OSRRefP22_1x_0)</f>
        <v>47.9</v>
      </c>
      <c r="Q21" s="1"/>
      <c r="R21" s="5">
        <f t="shared" si="4"/>
        <v>0</v>
      </c>
      <c r="S21" s="1"/>
      <c r="T21" s="1">
        <f>SUM(OSRRefT22_1x_0)</f>
        <v>302.14999999999998</v>
      </c>
      <c r="U21" s="1"/>
      <c r="V21" s="5">
        <f t="shared" si="5"/>
        <v>0</v>
      </c>
      <c r="W21" s="1"/>
      <c r="X21" s="1">
        <f t="shared" si="6"/>
        <v>-254.24999999999997</v>
      </c>
      <c r="Y21" s="1"/>
      <c r="Z21" s="5">
        <f t="shared" si="7"/>
        <v>-0.841469468806884</v>
      </c>
    </row>
    <row r="22" spans="1:26" s="24" customFormat="1" hidden="1" outlineLevel="2" x14ac:dyDescent="0.25">
      <c r="A22" s="29"/>
      <c r="B22" s="11" t="str">
        <f>CONCATENATE("          ", "6373", " - ", "MAINTENANCE CONTRACTS")</f>
        <v xml:space="preserve">          6373 - MAINTENANCE CONTRACTS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47.9</v>
      </c>
      <c r="Q22" s="2"/>
      <c r="R22" s="7">
        <f t="shared" si="4"/>
        <v>0</v>
      </c>
      <c r="S22" s="2"/>
      <c r="T22" s="6">
        <v>166.13</v>
      </c>
      <c r="U22" s="2"/>
      <c r="V22" s="7">
        <f t="shared" si="5"/>
        <v>0</v>
      </c>
      <c r="W22" s="2"/>
      <c r="X22" s="6">
        <f t="shared" si="6"/>
        <v>-118.22999999999999</v>
      </c>
      <c r="Y22" s="2"/>
      <c r="Z22" s="7">
        <f t="shared" si="7"/>
        <v>-0.71167158249563589</v>
      </c>
    </row>
    <row r="23" spans="1:26" s="24" customFormat="1" hidden="1" outlineLevel="2" x14ac:dyDescent="0.25">
      <c r="A23" s="29"/>
      <c r="B23" s="11" t="str">
        <f>CONCATENATE("          ", "6375", " - ", "OUTSIDE REPAIRS &amp; MAINTENANCE")</f>
        <v xml:space="preserve">          6375 - OUTSIDE REPAIRS &amp; MAINTENANCE</v>
      </c>
      <c r="C23" s="11"/>
      <c r="D23" s="6"/>
      <c r="E23" s="2"/>
      <c r="F23" s="7">
        <f t="shared" si="0"/>
        <v>0</v>
      </c>
      <c r="G23" s="2"/>
      <c r="H23" s="6">
        <v>22.02</v>
      </c>
      <c r="I23" s="2"/>
      <c r="J23" s="7">
        <f t="shared" si="1"/>
        <v>0</v>
      </c>
      <c r="K23" s="2"/>
      <c r="L23" s="6">
        <f t="shared" si="2"/>
        <v>-22.02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136.02000000000001</v>
      </c>
      <c r="U23" s="2"/>
      <c r="V23" s="7">
        <f t="shared" si="5"/>
        <v>0</v>
      </c>
      <c r="W23" s="2"/>
      <c r="X23" s="6">
        <f t="shared" si="6"/>
        <v>-136.02000000000001</v>
      </c>
      <c r="Y23" s="2"/>
      <c r="Z23" s="7">
        <f t="shared" si="7"/>
        <v>-1</v>
      </c>
    </row>
    <row r="24" spans="1:26" s="28" customFormat="1" outlineLevel="1" collapsed="1" x14ac:dyDescent="0.25">
      <c r="A24" s="27"/>
      <c r="B24" s="14" t="str">
        <f>CONCATENATE("     ","Services                                          ")</f>
        <v xml:space="preserve">     Services                                          </v>
      </c>
      <c r="C24" s="14"/>
      <c r="D24" s="1">
        <f>SUM(OSRRefD22_2x_0)</f>
        <v>151.85</v>
      </c>
      <c r="E24" s="1"/>
      <c r="F24" s="5">
        <f t="shared" ref="F24:F26" si="8">IF(D$12=0,0,D24/D$12)</f>
        <v>0</v>
      </c>
      <c r="G24" s="1"/>
      <c r="H24" s="1">
        <f>SUM(OSRRefH22_2x_0)</f>
        <v>558</v>
      </c>
      <c r="I24" s="1"/>
      <c r="J24" s="5">
        <f t="shared" ref="J24:J26" si="9">IF(H$12=0,0,H24/H$12)</f>
        <v>0</v>
      </c>
      <c r="K24" s="1"/>
      <c r="L24" s="1">
        <f t="shared" ref="L24:L26" si="10">+D24-H24</f>
        <v>-406.15</v>
      </c>
      <c r="M24" s="1"/>
      <c r="N24" s="5">
        <f t="shared" ref="N24:N26" si="11">IF(H24=0,0,L24/H24)</f>
        <v>-0.72786738351254476</v>
      </c>
      <c r="O24" s="14"/>
      <c r="P24" s="1">
        <f>SUM(OSRRefP22_2x_0)</f>
        <v>730.31999999999994</v>
      </c>
      <c r="Q24" s="1"/>
      <c r="R24" s="5">
        <f t="shared" ref="R24:R26" si="12">IF(P$12=0,0,P24/P$12)</f>
        <v>0</v>
      </c>
      <c r="S24" s="1"/>
      <c r="T24" s="1">
        <f>SUM(OSRRefT22_2x_0)</f>
        <v>183.08</v>
      </c>
      <c r="U24" s="1"/>
      <c r="V24" s="5">
        <f t="shared" ref="V24:V26" si="13">IF(T$12=0,0,T24/T$12)</f>
        <v>0</v>
      </c>
      <c r="W24" s="1"/>
      <c r="X24" s="1">
        <f t="shared" ref="X24:X26" si="14">+P24-T24</f>
        <v>547.2399999999999</v>
      </c>
      <c r="Y24" s="1"/>
      <c r="Z24" s="5">
        <f t="shared" ref="Z24:Z26" si="15">IF(T24=0,0,X24/T24)</f>
        <v>2.9890758138518674</v>
      </c>
    </row>
    <row r="25" spans="1:26" s="24" customFormat="1" hidden="1" outlineLevel="2" x14ac:dyDescent="0.25">
      <c r="A25" s="29"/>
      <c r="B25" s="11" t="str">
        <f>CONCATENATE("          ", "6282", " - ", "JANITORIAL/EXTERMINATOR EXPENS")</f>
        <v xml:space="preserve">          6282 - JANITORIAL/EXTERMINATOR EXPENS</v>
      </c>
      <c r="C25" s="11"/>
      <c r="D25" s="6">
        <v>151.85</v>
      </c>
      <c r="E25" s="2"/>
      <c r="F25" s="7">
        <f t="shared" si="8"/>
        <v>0</v>
      </c>
      <c r="G25" s="2"/>
      <c r="H25" s="6">
        <v>558</v>
      </c>
      <c r="I25" s="2"/>
      <c r="J25" s="7">
        <f t="shared" si="9"/>
        <v>0</v>
      </c>
      <c r="K25" s="2"/>
      <c r="L25" s="6">
        <f t="shared" si="10"/>
        <v>-406.15</v>
      </c>
      <c r="M25" s="2"/>
      <c r="N25" s="7">
        <f t="shared" si="11"/>
        <v>-0.72786738351254476</v>
      </c>
      <c r="O25" s="11"/>
      <c r="P25" s="6">
        <v>607.4</v>
      </c>
      <c r="Q25" s="2"/>
      <c r="R25" s="7">
        <f t="shared" si="12"/>
        <v>0</v>
      </c>
      <c r="S25" s="2"/>
      <c r="T25" s="6">
        <v>356.12</v>
      </c>
      <c r="U25" s="2"/>
      <c r="V25" s="7">
        <f t="shared" si="13"/>
        <v>0</v>
      </c>
      <c r="W25" s="2"/>
      <c r="X25" s="6">
        <f t="shared" si="14"/>
        <v>251.27999999999997</v>
      </c>
      <c r="Y25" s="2"/>
      <c r="Z25" s="7">
        <f t="shared" si="15"/>
        <v>0.70560485229697845</v>
      </c>
    </row>
    <row r="26" spans="1:26" s="24" customFormat="1" hidden="1" outlineLevel="2" x14ac:dyDescent="0.25">
      <c r="A26" s="29"/>
      <c r="B26" s="11" t="str">
        <f>CONCATENATE("          ", "6285", " - ", "JANITORIAL SERVICES")</f>
        <v xml:space="preserve">          6285 - JANITORIAL SERVICES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>
        <v>122.92</v>
      </c>
      <c r="Q26" s="2"/>
      <c r="R26" s="7">
        <f t="shared" si="12"/>
        <v>0</v>
      </c>
      <c r="S26" s="2"/>
      <c r="T26" s="6">
        <v>-173.04</v>
      </c>
      <c r="U26" s="2"/>
      <c r="V26" s="7">
        <f t="shared" si="13"/>
        <v>0</v>
      </c>
      <c r="W26" s="2"/>
      <c r="X26" s="6">
        <f t="shared" si="14"/>
        <v>295.95999999999998</v>
      </c>
      <c r="Y26" s="2"/>
      <c r="Z26" s="7">
        <f t="shared" si="15"/>
        <v>-1.7103559870550162</v>
      </c>
    </row>
    <row r="27" spans="1:26" s="28" customFormat="1" outlineLevel="1" collapsed="1" x14ac:dyDescent="0.2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SUM(OSRRefD22_3x_0)</f>
        <v>30</v>
      </c>
      <c r="E27" s="1"/>
      <c r="F27" s="5">
        <f t="shared" ref="F27:F28" si="16">IF(D$12=0,0,D27/D$12)</f>
        <v>0</v>
      </c>
      <c r="G27" s="1"/>
      <c r="H27" s="1">
        <f>SUM(OSRRefH22_3x_0)</f>
        <v>38.43</v>
      </c>
      <c r="I27" s="1"/>
      <c r="J27" s="5">
        <f t="shared" ref="J27:J28" si="17">IF(H$12=0,0,H27/H$12)</f>
        <v>0</v>
      </c>
      <c r="K27" s="1"/>
      <c r="L27" s="1">
        <f t="shared" ref="L27:L28" si="18">+D27-H27</f>
        <v>-8.43</v>
      </c>
      <c r="M27" s="1"/>
      <c r="N27" s="5">
        <f t="shared" ref="N27:N28" si="19">IF(H27=0,0,L27/H27)</f>
        <v>-0.21935987509758001</v>
      </c>
      <c r="O27" s="14"/>
      <c r="P27" s="1">
        <f>SUM(OSRRefP22_3x_0)</f>
        <v>120</v>
      </c>
      <c r="Q27" s="1"/>
      <c r="R27" s="5">
        <f t="shared" ref="R27:R28" si="20">IF(P$12=0,0,P27/P$12)</f>
        <v>0</v>
      </c>
      <c r="S27" s="1"/>
      <c r="T27" s="1">
        <f>SUM(OSRRefT22_3x_0)</f>
        <v>214.32</v>
      </c>
      <c r="U27" s="1"/>
      <c r="V27" s="5">
        <f t="shared" ref="V27:V28" si="21">IF(T$12=0,0,T27/T$12)</f>
        <v>0</v>
      </c>
      <c r="W27" s="1"/>
      <c r="X27" s="1">
        <f t="shared" ref="X27:X28" si="22">+P27-T27</f>
        <v>-94.32</v>
      </c>
      <c r="Y27" s="1"/>
      <c r="Z27" s="5">
        <f t="shared" ref="Z27:Z28" si="23">IF(T27=0,0,X27/T27)</f>
        <v>-0.44008958566629336</v>
      </c>
    </row>
    <row r="28" spans="1:26" s="24" customFormat="1" hidden="1" outlineLevel="2" x14ac:dyDescent="0.25">
      <c r="A28" s="29"/>
      <c r="B28" s="11" t="str">
        <f>CONCATENATE("          ", "6309", " - ", "TELEPHONE")</f>
        <v xml:space="preserve">          6309 - TELEPHONE</v>
      </c>
      <c r="C28" s="11"/>
      <c r="D28" s="6">
        <v>30</v>
      </c>
      <c r="E28" s="2"/>
      <c r="F28" s="7">
        <f t="shared" si="16"/>
        <v>0</v>
      </c>
      <c r="G28" s="2"/>
      <c r="H28" s="6">
        <v>38.43</v>
      </c>
      <c r="I28" s="2"/>
      <c r="J28" s="7">
        <f t="shared" si="17"/>
        <v>0</v>
      </c>
      <c r="K28" s="2"/>
      <c r="L28" s="6">
        <f t="shared" si="18"/>
        <v>-8.43</v>
      </c>
      <c r="M28" s="2"/>
      <c r="N28" s="7">
        <f t="shared" si="19"/>
        <v>-0.21935987509758001</v>
      </c>
      <c r="O28" s="11"/>
      <c r="P28" s="6">
        <v>120</v>
      </c>
      <c r="Q28" s="2"/>
      <c r="R28" s="7">
        <f t="shared" si="20"/>
        <v>0</v>
      </c>
      <c r="S28" s="2"/>
      <c r="T28" s="6">
        <v>214.32</v>
      </c>
      <c r="U28" s="2"/>
      <c r="V28" s="7">
        <f t="shared" si="21"/>
        <v>0</v>
      </c>
      <c r="W28" s="2"/>
      <c r="X28" s="6">
        <f t="shared" si="22"/>
        <v>-94.32</v>
      </c>
      <c r="Y28" s="2"/>
      <c r="Z28" s="7">
        <f t="shared" si="23"/>
        <v>-0.44008958566629336</v>
      </c>
    </row>
    <row r="29" spans="1:26" s="56" customFormat="1" x14ac:dyDescent="0.25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276</v>
      </c>
      <c r="C32" s="26"/>
      <c r="D32" s="22">
        <f>+D16-D18+D30</f>
        <v>-770.79000000000008</v>
      </c>
      <c r="E32" s="13"/>
      <c r="F32" s="20">
        <f>IF(D$12=0,0,D32/D$12)</f>
        <v>0</v>
      </c>
      <c r="G32" s="13"/>
      <c r="H32" s="22">
        <f>+H16-H18+H30</f>
        <v>-1206.6200000000001</v>
      </c>
      <c r="I32" s="13"/>
      <c r="J32" s="20">
        <f>IF(H$12=0,0,H32/H$12)</f>
        <v>0</v>
      </c>
      <c r="K32" s="15"/>
      <c r="L32" s="22">
        <f>+D32-H32</f>
        <v>435.83000000000004</v>
      </c>
      <c r="M32" s="15"/>
      <c r="N32" s="20">
        <f>IF(H32=0,0,L32/H32)</f>
        <v>-0.36119905189703472</v>
      </c>
      <c r="O32" s="25"/>
      <c r="P32" s="22">
        <f>+P16-P18+P30</f>
        <v>-3253.9800000000005</v>
      </c>
      <c r="Q32" s="13"/>
      <c r="R32" s="20">
        <f>IF(P$12=0,0,P32/P$12)</f>
        <v>0</v>
      </c>
      <c r="S32" s="13"/>
      <c r="T32" s="22">
        <f>+T16-T18+T30</f>
        <v>-2788.01</v>
      </c>
      <c r="U32" s="13"/>
      <c r="V32" s="20">
        <f>IF(T$12=0,0,T32/T$12)</f>
        <v>0</v>
      </c>
      <c r="W32" s="15"/>
      <c r="X32" s="22">
        <f>+P32-T32</f>
        <v>-465.97000000000025</v>
      </c>
      <c r="Y32" s="15"/>
      <c r="Z32" s="20">
        <f>IF(T32=0,0,X32/T32)</f>
        <v>0.16713354686676168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125</v>
      </c>
      <c r="C36" s="26"/>
      <c r="D36" s="33">
        <f>+D32-D34</f>
        <v>-770.79000000000008</v>
      </c>
      <c r="E36" s="13"/>
      <c r="F36" s="31">
        <f>IF(D$12=0,0,D36/D$12)</f>
        <v>0</v>
      </c>
      <c r="G36" s="13"/>
      <c r="H36" s="33">
        <f>+H32-H34</f>
        <v>-1206.6200000000001</v>
      </c>
      <c r="I36" s="13"/>
      <c r="J36" s="31">
        <f>IF(H$12=0,0,H36/H$12)</f>
        <v>0</v>
      </c>
      <c r="K36" s="15"/>
      <c r="L36" s="33">
        <f>D36-H36</f>
        <v>435.83000000000004</v>
      </c>
      <c r="M36" s="15"/>
      <c r="N36" s="31">
        <f>IF(H36=0,0,L36/H36)</f>
        <v>-0.36119905189703472</v>
      </c>
      <c r="O36" s="25"/>
      <c r="P36" s="33">
        <f>+P32-P34</f>
        <v>-3253.9800000000005</v>
      </c>
      <c r="Q36" s="13"/>
      <c r="R36" s="31">
        <f>IF(P$12=0,0,P36/P$12)</f>
        <v>0</v>
      </c>
      <c r="S36" s="13"/>
      <c r="T36" s="33">
        <f>+T32-T34</f>
        <v>-2788.01</v>
      </c>
      <c r="U36" s="13"/>
      <c r="V36" s="31">
        <f>IF(T$12=0,0,T36/T$12)</f>
        <v>0</v>
      </c>
      <c r="W36" s="15"/>
      <c r="X36" s="33">
        <f>P36-T36</f>
        <v>-465.97000000000025</v>
      </c>
      <c r="Y36" s="15"/>
      <c r="Z36" s="31">
        <f>IF(T36=0,0,X36/T36)</f>
        <v>0.16713354686676168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293</v>
      </c>
      <c r="C39" s="26"/>
      <c r="D39" s="34">
        <f>SUM(D36:D38)</f>
        <v>-770.79000000000008</v>
      </c>
      <c r="E39" s="13"/>
      <c r="F39" s="30">
        <f>IF(D$12=0,0,D39/D$12)</f>
        <v>0</v>
      </c>
      <c r="G39" s="13"/>
      <c r="H39" s="34">
        <f>SUM(H36:H38)</f>
        <v>-1206.6200000000001</v>
      </c>
      <c r="I39" s="13"/>
      <c r="J39" s="30">
        <f>IF(H$12=0,0,H39/H$12)</f>
        <v>0</v>
      </c>
      <c r="K39" s="15"/>
      <c r="L39" s="34">
        <f>+D39-H39</f>
        <v>435.83000000000004</v>
      </c>
      <c r="M39" s="15"/>
      <c r="N39" s="30">
        <f>IF(H39=0,0,L39/H39)</f>
        <v>-0.36119905189703472</v>
      </c>
      <c r="O39" s="25"/>
      <c r="P39" s="34">
        <f>SUM(P36:P38)</f>
        <v>-3253.9800000000005</v>
      </c>
      <c r="Q39" s="13"/>
      <c r="R39" s="30">
        <f>IF(P$12=0,0,P39/P$12)</f>
        <v>0</v>
      </c>
      <c r="S39" s="13"/>
      <c r="T39" s="34">
        <f>SUM(T36:T38)</f>
        <v>-2788.01</v>
      </c>
      <c r="U39" s="13"/>
      <c r="V39" s="30">
        <f>IF(T$12=0,0,T39/T$12)</f>
        <v>0</v>
      </c>
      <c r="W39" s="15"/>
      <c r="X39" s="34">
        <f>+P39-T39</f>
        <v>-465.97000000000025</v>
      </c>
      <c r="Y39" s="15"/>
      <c r="Z39" s="30">
        <f>IF(T39=0,0,X39/T39)</f>
        <v>0.16713354686676168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1">
        <v>44517.967041516204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8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6" si="2">+P12-T12</f>
        <v>0</v>
      </c>
      <c r="Y12" s="4"/>
      <c r="Z12" s="12">
        <f t="shared" ref="Z12:Z16" si="3">IF(T12=0,0,X12/T12)</f>
        <v>0</v>
      </c>
    </row>
    <row r="13" spans="1:26" s="24" customFormat="1" hidden="1" outlineLevel="1" x14ac:dyDescent="0.25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6" si="6">0</f>
        <v>0</v>
      </c>
      <c r="Q13" s="2"/>
      <c r="R13" s="19"/>
      <c r="S13" s="2"/>
      <c r="T13" s="2">
        <f t="shared" ref="T13:T16" si="7"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 t="shared" si="7"/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"4134", " - ", "NON-TAXABLE SALES-SODA")</f>
        <v xml:space="preserve">          4134 - NON-TAXABLE SALES-SODA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si="7"/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"4137", " - ", "NON-TAXABLE SALES-WATER")</f>
        <v xml:space="preserve">          4137 - NON-TAXABLE SALES-WATER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256</v>
      </c>
      <c r="C18" s="10"/>
      <c r="D18" s="4">
        <f>SUM(OSRRefD16x_0)</f>
        <v>0</v>
      </c>
      <c r="E18" s="4"/>
      <c r="F18" s="12">
        <f t="shared" ref="F18:F19" si="8">IF(D$12=0,0,D18/D$12)</f>
        <v>0</v>
      </c>
      <c r="G18" s="4"/>
      <c r="H18" s="4">
        <f>SUM(OSRRefH16x_0)</f>
        <v>0</v>
      </c>
      <c r="I18" s="4"/>
      <c r="J18" s="12">
        <f t="shared" ref="J18:J19" si="9">IF(H$12=0,0,H18/H$12)</f>
        <v>0</v>
      </c>
      <c r="K18" s="4"/>
      <c r="L18" s="4">
        <f t="shared" ref="L18:L19" si="10">+D18-H18</f>
        <v>0</v>
      </c>
      <c r="M18" s="4"/>
      <c r="N18" s="12">
        <f t="shared" ref="N18:N19" si="11">IF(H18=0,0,L18/H18)</f>
        <v>0</v>
      </c>
      <c r="O18" s="10"/>
      <c r="P18" s="4">
        <f>SUM(OSRRefP16x_0)</f>
        <v>0</v>
      </c>
      <c r="Q18" s="4"/>
      <c r="R18" s="12">
        <f t="shared" ref="R18:R19" si="12">IF(P$12=0,0,P18/P$12)</f>
        <v>0</v>
      </c>
      <c r="S18" s="4"/>
      <c r="T18" s="4">
        <f>SUM(OSRRefT16x_0)</f>
        <v>-613.59</v>
      </c>
      <c r="U18" s="4"/>
      <c r="V18" s="12">
        <f t="shared" ref="V18:V19" si="13">IF(T$12=0,0,T18/T$12)</f>
        <v>0</v>
      </c>
      <c r="W18" s="4"/>
      <c r="X18" s="4">
        <f t="shared" ref="X18:X19" si="14">+P18-T18</f>
        <v>613.59</v>
      </c>
      <c r="Y18" s="4"/>
      <c r="Z18" s="12">
        <f t="shared" ref="Z18:Z19" si="15">IF(T18=0,0,X18/T18)</f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8"/>
        <v>0</v>
      </c>
      <c r="G19" s="2"/>
      <c r="H19" s="2"/>
      <c r="I19" s="2"/>
      <c r="J19" s="19">
        <f t="shared" si="9"/>
        <v>0</v>
      </c>
      <c r="K19" s="2"/>
      <c r="L19" s="2">
        <f t="shared" si="10"/>
        <v>0</v>
      </c>
      <c r="M19" s="2"/>
      <c r="N19" s="19">
        <f t="shared" si="11"/>
        <v>0</v>
      </c>
      <c r="O19" s="11"/>
      <c r="P19" s="2"/>
      <c r="Q19" s="2"/>
      <c r="R19" s="19">
        <f t="shared" si="12"/>
        <v>0</v>
      </c>
      <c r="S19" s="2"/>
      <c r="T19" s="2">
        <v>-613.59</v>
      </c>
      <c r="U19" s="2"/>
      <c r="V19" s="19">
        <f t="shared" si="13"/>
        <v>0</v>
      </c>
      <c r="W19" s="2"/>
      <c r="X19" s="2">
        <f t="shared" si="14"/>
        <v>613.59</v>
      </c>
      <c r="Y19" s="2"/>
      <c r="Z19" s="19">
        <f t="shared" si="15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107</v>
      </c>
      <c r="C21" s="26"/>
      <c r="D21" s="22">
        <f>D12-D18</f>
        <v>0</v>
      </c>
      <c r="E21" s="13"/>
      <c r="F21" s="20">
        <f>IF(D$12=0,0,D21/D$12)</f>
        <v>0</v>
      </c>
      <c r="G21" s="13"/>
      <c r="H21" s="22">
        <f>H12-H18</f>
        <v>0</v>
      </c>
      <c r="I21" s="13"/>
      <c r="J21" s="20">
        <f>IF(H$12=0,0,H21/H$12)</f>
        <v>0</v>
      </c>
      <c r="K21" s="15"/>
      <c r="L21" s="22">
        <f>+D21-H21</f>
        <v>0</v>
      </c>
      <c r="M21" s="15"/>
      <c r="N21" s="20">
        <f>IF(H21=0,0,L21/H21)</f>
        <v>0</v>
      </c>
      <c r="O21" s="25"/>
      <c r="P21" s="22">
        <f>P12-P18</f>
        <v>0</v>
      </c>
      <c r="Q21" s="13"/>
      <c r="R21" s="20">
        <f>IF(P$12=0,0,P21/P$12)</f>
        <v>0</v>
      </c>
      <c r="S21" s="13"/>
      <c r="T21" s="22">
        <f>T12-T18</f>
        <v>613.59</v>
      </c>
      <c r="U21" s="13"/>
      <c r="V21" s="20">
        <f>IF(T$12=0,0,T21/T$12)</f>
        <v>0</v>
      </c>
      <c r="W21" s="15"/>
      <c r="X21" s="22">
        <f>+P21-T21</f>
        <v>-613.59</v>
      </c>
      <c r="Y21" s="15"/>
      <c r="Z21" s="20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294</v>
      </c>
      <c r="C23" s="10"/>
      <c r="D23" s="21">
        <f>SUM(OSRRefD22x_0)</f>
        <v>0</v>
      </c>
      <c r="E23" s="21"/>
      <c r="F23" s="36">
        <f t="shared" ref="F23:F32" si="16">IF(D$12=0,0,D23/D$12)</f>
        <v>0</v>
      </c>
      <c r="G23" s="21"/>
      <c r="H23" s="21">
        <f>SUM(OSRRefH22x_0)</f>
        <v>8727.58</v>
      </c>
      <c r="I23" s="21"/>
      <c r="J23" s="36">
        <f t="shared" ref="J23:J32" si="17">IF(H$12=0,0,H23/H$12)</f>
        <v>0</v>
      </c>
      <c r="K23" s="4"/>
      <c r="L23" s="21">
        <f t="shared" ref="L23:L32" si="18">+D23-H23</f>
        <v>-8727.58</v>
      </c>
      <c r="M23" s="4"/>
      <c r="N23" s="36">
        <f t="shared" ref="N23:N32" si="19">IF(H23=0,0,L23/H23)</f>
        <v>-1</v>
      </c>
      <c r="O23" s="10"/>
      <c r="P23" s="21">
        <f>SUM(OSRRefP22x_0)</f>
        <v>0</v>
      </c>
      <c r="Q23" s="21"/>
      <c r="R23" s="36">
        <f t="shared" ref="R23:R32" si="20">IF(P$12=0,0,P23/P$12)</f>
        <v>0</v>
      </c>
      <c r="S23" s="21"/>
      <c r="T23" s="21">
        <f>SUM(OSRRefT22x_0)</f>
        <v>37665.360000000001</v>
      </c>
      <c r="U23" s="21"/>
      <c r="V23" s="36">
        <f t="shared" ref="V23:V32" si="21">IF(T$12=0,0,T23/T$12)</f>
        <v>0</v>
      </c>
      <c r="W23" s="4"/>
      <c r="X23" s="21">
        <f t="shared" ref="X23:X32" si="22">+P23-T23</f>
        <v>-37665.360000000001</v>
      </c>
      <c r="Y23" s="4"/>
      <c r="Z23" s="36">
        <f t="shared" ref="Z23:Z32" si="23">IF(T23=0,0,X23/T23)</f>
        <v>-1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4181.12</v>
      </c>
      <c r="I24" s="1"/>
      <c r="J24" s="5">
        <f t="shared" si="17"/>
        <v>0</v>
      </c>
      <c r="K24" s="1"/>
      <c r="L24" s="1">
        <f t="shared" si="18"/>
        <v>-4181.12</v>
      </c>
      <c r="M24" s="1"/>
      <c r="N24" s="5">
        <f t="shared" si="19"/>
        <v>-1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16138.039999999999</v>
      </c>
      <c r="U24" s="1"/>
      <c r="V24" s="5">
        <f t="shared" si="21"/>
        <v>0</v>
      </c>
      <c r="W24" s="1"/>
      <c r="X24" s="1">
        <f t="shared" si="22"/>
        <v>-16138.039999999999</v>
      </c>
      <c r="Y24" s="1"/>
      <c r="Z24" s="5">
        <f t="shared" si="23"/>
        <v>-1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6"/>
        <v>0</v>
      </c>
      <c r="G25" s="2"/>
      <c r="H25" s="6">
        <v>646.33000000000004</v>
      </c>
      <c r="I25" s="2"/>
      <c r="J25" s="7">
        <f t="shared" si="17"/>
        <v>0</v>
      </c>
      <c r="K25" s="2"/>
      <c r="L25" s="6">
        <f t="shared" si="18"/>
        <v>-646.33000000000004</v>
      </c>
      <c r="M25" s="2"/>
      <c r="N25" s="7">
        <f t="shared" si="19"/>
        <v>-1</v>
      </c>
      <c r="O25" s="11"/>
      <c r="P25" s="6"/>
      <c r="Q25" s="2"/>
      <c r="R25" s="7">
        <f t="shared" si="20"/>
        <v>0</v>
      </c>
      <c r="S25" s="2"/>
      <c r="T25" s="6">
        <v>1745.51</v>
      </c>
      <c r="U25" s="2"/>
      <c r="V25" s="7">
        <f t="shared" si="21"/>
        <v>0</v>
      </c>
      <c r="W25" s="2"/>
      <c r="X25" s="6">
        <f t="shared" si="22"/>
        <v>-1745.51</v>
      </c>
      <c r="Y25" s="2"/>
      <c r="Z25" s="7">
        <f t="shared" si="23"/>
        <v>-1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6"/>
        <v>0</v>
      </c>
      <c r="G26" s="2"/>
      <c r="H26" s="6">
        <v>86.5</v>
      </c>
      <c r="I26" s="2"/>
      <c r="J26" s="7">
        <f t="shared" si="17"/>
        <v>0</v>
      </c>
      <c r="K26" s="2"/>
      <c r="L26" s="6">
        <f t="shared" si="18"/>
        <v>-86.5</v>
      </c>
      <c r="M26" s="2"/>
      <c r="N26" s="7">
        <f t="shared" si="19"/>
        <v>-1</v>
      </c>
      <c r="O26" s="11"/>
      <c r="P26" s="6"/>
      <c r="Q26" s="2"/>
      <c r="R26" s="7">
        <f t="shared" si="20"/>
        <v>0</v>
      </c>
      <c r="S26" s="2"/>
      <c r="T26" s="6">
        <v>352.32</v>
      </c>
      <c r="U26" s="2"/>
      <c r="V26" s="7">
        <f t="shared" si="21"/>
        <v>0</v>
      </c>
      <c r="W26" s="2"/>
      <c r="X26" s="6">
        <f t="shared" si="22"/>
        <v>-352.32</v>
      </c>
      <c r="Y26" s="2"/>
      <c r="Z26" s="7">
        <f t="shared" si="23"/>
        <v>-1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6"/>
        <v>0</v>
      </c>
      <c r="G27" s="2"/>
      <c r="H27" s="6">
        <v>2021.26</v>
      </c>
      <c r="I27" s="2"/>
      <c r="J27" s="7">
        <f t="shared" si="17"/>
        <v>0</v>
      </c>
      <c r="K27" s="2"/>
      <c r="L27" s="6">
        <f t="shared" si="18"/>
        <v>-2021.26</v>
      </c>
      <c r="M27" s="2"/>
      <c r="N27" s="7">
        <f t="shared" si="19"/>
        <v>-1</v>
      </c>
      <c r="O27" s="11"/>
      <c r="P27" s="6"/>
      <c r="Q27" s="2"/>
      <c r="R27" s="7">
        <f t="shared" si="20"/>
        <v>0</v>
      </c>
      <c r="S27" s="2"/>
      <c r="T27" s="6">
        <v>8085.04</v>
      </c>
      <c r="U27" s="2"/>
      <c r="V27" s="7">
        <f t="shared" si="21"/>
        <v>0</v>
      </c>
      <c r="W27" s="2"/>
      <c r="X27" s="6">
        <f t="shared" si="22"/>
        <v>-8085.04</v>
      </c>
      <c r="Y27" s="2"/>
      <c r="Z27" s="7">
        <f t="shared" si="23"/>
        <v>-1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6"/>
        <v>0</v>
      </c>
      <c r="G28" s="2"/>
      <c r="H28" s="6">
        <v>12.16</v>
      </c>
      <c r="I28" s="2"/>
      <c r="J28" s="7">
        <f t="shared" si="17"/>
        <v>0</v>
      </c>
      <c r="K28" s="2"/>
      <c r="L28" s="6">
        <f t="shared" si="18"/>
        <v>-12.16</v>
      </c>
      <c r="M28" s="2"/>
      <c r="N28" s="7">
        <f t="shared" si="19"/>
        <v>-1</v>
      </c>
      <c r="O28" s="11"/>
      <c r="P28" s="6"/>
      <c r="Q28" s="2"/>
      <c r="R28" s="7">
        <f t="shared" si="20"/>
        <v>0</v>
      </c>
      <c r="S28" s="2"/>
      <c r="T28" s="6">
        <v>49.52</v>
      </c>
      <c r="U28" s="2"/>
      <c r="V28" s="7">
        <f t="shared" si="21"/>
        <v>0</v>
      </c>
      <c r="W28" s="2"/>
      <c r="X28" s="6">
        <f t="shared" si="22"/>
        <v>-49.52</v>
      </c>
      <c r="Y28" s="2"/>
      <c r="Z28" s="7">
        <f t="shared" si="23"/>
        <v>-1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6"/>
        <v>0</v>
      </c>
      <c r="G29" s="2"/>
      <c r="H29" s="6">
        <v>368.43</v>
      </c>
      <c r="I29" s="2"/>
      <c r="J29" s="7">
        <f t="shared" si="17"/>
        <v>0</v>
      </c>
      <c r="K29" s="2"/>
      <c r="L29" s="6">
        <f t="shared" si="18"/>
        <v>-368.43</v>
      </c>
      <c r="M29" s="2"/>
      <c r="N29" s="7">
        <f t="shared" si="19"/>
        <v>-1</v>
      </c>
      <c r="O29" s="11"/>
      <c r="P29" s="6"/>
      <c r="Q29" s="2"/>
      <c r="R29" s="7">
        <f t="shared" si="20"/>
        <v>0</v>
      </c>
      <c r="S29" s="2"/>
      <c r="T29" s="6">
        <v>2517.64</v>
      </c>
      <c r="U29" s="2"/>
      <c r="V29" s="7">
        <f t="shared" si="21"/>
        <v>0</v>
      </c>
      <c r="W29" s="2"/>
      <c r="X29" s="6">
        <f t="shared" si="22"/>
        <v>-2517.64</v>
      </c>
      <c r="Y29" s="2"/>
      <c r="Z29" s="7">
        <f t="shared" si="23"/>
        <v>-1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6"/>
        <v>0</v>
      </c>
      <c r="G30" s="2"/>
      <c r="H30" s="6">
        <v>610.59</v>
      </c>
      <c r="I30" s="2"/>
      <c r="J30" s="7">
        <f t="shared" si="17"/>
        <v>0</v>
      </c>
      <c r="K30" s="2"/>
      <c r="L30" s="6">
        <f t="shared" si="18"/>
        <v>-610.59</v>
      </c>
      <c r="M30" s="2"/>
      <c r="N30" s="7">
        <f t="shared" si="19"/>
        <v>-1</v>
      </c>
      <c r="O30" s="11"/>
      <c r="P30" s="6"/>
      <c r="Q30" s="2"/>
      <c r="R30" s="7">
        <f t="shared" si="20"/>
        <v>0</v>
      </c>
      <c r="S30" s="2"/>
      <c r="T30" s="6">
        <v>1831.77</v>
      </c>
      <c r="U30" s="2"/>
      <c r="V30" s="7">
        <f t="shared" si="21"/>
        <v>0</v>
      </c>
      <c r="W30" s="2"/>
      <c r="X30" s="6">
        <f t="shared" si="22"/>
        <v>-1831.77</v>
      </c>
      <c r="Y30" s="2"/>
      <c r="Z30" s="7">
        <f t="shared" si="23"/>
        <v>-1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6"/>
        <v>0</v>
      </c>
      <c r="G31" s="2"/>
      <c r="H31" s="6">
        <v>385.14</v>
      </c>
      <c r="I31" s="2"/>
      <c r="J31" s="7">
        <f t="shared" si="17"/>
        <v>0</v>
      </c>
      <c r="K31" s="2"/>
      <c r="L31" s="6">
        <f t="shared" si="18"/>
        <v>-385.14</v>
      </c>
      <c r="M31" s="2"/>
      <c r="N31" s="7">
        <f t="shared" si="19"/>
        <v>-1</v>
      </c>
      <c r="O31" s="11"/>
      <c r="P31" s="6"/>
      <c r="Q31" s="2"/>
      <c r="R31" s="7">
        <f t="shared" si="20"/>
        <v>0</v>
      </c>
      <c r="S31" s="2"/>
      <c r="T31" s="6">
        <v>1155.42</v>
      </c>
      <c r="U31" s="2"/>
      <c r="V31" s="7">
        <f t="shared" si="21"/>
        <v>0</v>
      </c>
      <c r="W31" s="2"/>
      <c r="X31" s="6">
        <f t="shared" si="22"/>
        <v>-1155.42</v>
      </c>
      <c r="Y31" s="2"/>
      <c r="Z31" s="7">
        <f t="shared" si="23"/>
        <v>-1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6"/>
        <v>0</v>
      </c>
      <c r="G32" s="2"/>
      <c r="H32" s="6">
        <v>50.71</v>
      </c>
      <c r="I32" s="2"/>
      <c r="J32" s="7">
        <f t="shared" si="17"/>
        <v>0</v>
      </c>
      <c r="K32" s="2"/>
      <c r="L32" s="6">
        <f t="shared" si="18"/>
        <v>-50.71</v>
      </c>
      <c r="M32" s="2"/>
      <c r="N32" s="7">
        <f t="shared" si="19"/>
        <v>-1</v>
      </c>
      <c r="O32" s="11"/>
      <c r="P32" s="6"/>
      <c r="Q32" s="2"/>
      <c r="R32" s="7">
        <f t="shared" si="20"/>
        <v>0</v>
      </c>
      <c r="S32" s="2"/>
      <c r="T32" s="6">
        <v>400.82</v>
      </c>
      <c r="U32" s="2"/>
      <c r="V32" s="7">
        <f t="shared" si="21"/>
        <v>0</v>
      </c>
      <c r="W32" s="2"/>
      <c r="X32" s="6">
        <f t="shared" si="22"/>
        <v>-400.82</v>
      </c>
      <c r="Y32" s="2"/>
      <c r="Z32" s="7">
        <f t="shared" si="23"/>
        <v>-1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4" si="24">IF(D$12=0,0,D33/D$12)</f>
        <v>0</v>
      </c>
      <c r="G33" s="1"/>
      <c r="H33" s="1">
        <f>SUM(OSRRefH22_1x_0)</f>
        <v>4279.03</v>
      </c>
      <c r="I33" s="1"/>
      <c r="J33" s="5">
        <f t="shared" ref="J33:J44" si="25">IF(H$12=0,0,H33/H$12)</f>
        <v>0</v>
      </c>
      <c r="K33" s="1"/>
      <c r="L33" s="1">
        <f t="shared" ref="L33:L44" si="26">+D33-H33</f>
        <v>-4279.03</v>
      </c>
      <c r="M33" s="1"/>
      <c r="N33" s="5">
        <f t="shared" ref="N33:N44" si="27">IF(H33=0,0,L33/H33)</f>
        <v>-1</v>
      </c>
      <c r="O33" s="14"/>
      <c r="P33" s="1">
        <f>SUM(OSRRefP22_1x_0)</f>
        <v>0</v>
      </c>
      <c r="Q33" s="1"/>
      <c r="R33" s="5">
        <f t="shared" ref="R33:R44" si="28">IF(P$12=0,0,P33/P$12)</f>
        <v>0</v>
      </c>
      <c r="S33" s="1"/>
      <c r="T33" s="1">
        <f>SUM(OSRRefT22_1x_0)</f>
        <v>20631.419999999998</v>
      </c>
      <c r="U33" s="1"/>
      <c r="V33" s="5">
        <f t="shared" ref="V33:V44" si="29">IF(T$12=0,0,T33/T$12)</f>
        <v>0</v>
      </c>
      <c r="W33" s="1"/>
      <c r="X33" s="1">
        <f t="shared" ref="X33:X44" si="30">+P33-T33</f>
        <v>-20631.419999999998</v>
      </c>
      <c r="Y33" s="1"/>
      <c r="Z33" s="5">
        <f t="shared" ref="Z33:Z44" si="31">IF(T33=0,0,X33/T33)</f>
        <v>-1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4"/>
        <v>0</v>
      </c>
      <c r="G34" s="2"/>
      <c r="H34" s="6">
        <v>4279.03</v>
      </c>
      <c r="I34" s="2"/>
      <c r="J34" s="7">
        <f t="shared" si="25"/>
        <v>0</v>
      </c>
      <c r="K34" s="2"/>
      <c r="L34" s="6">
        <f t="shared" si="26"/>
        <v>-4279.03</v>
      </c>
      <c r="M34" s="2"/>
      <c r="N34" s="7">
        <f t="shared" si="27"/>
        <v>-1</v>
      </c>
      <c r="O34" s="11"/>
      <c r="P34" s="6"/>
      <c r="Q34" s="2"/>
      <c r="R34" s="7">
        <f t="shared" si="28"/>
        <v>0</v>
      </c>
      <c r="S34" s="2"/>
      <c r="T34" s="6">
        <v>20631.419999999998</v>
      </c>
      <c r="U34" s="2"/>
      <c r="V34" s="7">
        <f t="shared" si="29"/>
        <v>0</v>
      </c>
      <c r="W34" s="2"/>
      <c r="X34" s="6">
        <f t="shared" si="30"/>
        <v>-20631.419999999998</v>
      </c>
      <c r="Y34" s="2"/>
      <c r="Z34" s="7">
        <f t="shared" si="31"/>
        <v>-1</v>
      </c>
    </row>
    <row r="35" spans="1:26" s="28" customFormat="1" outlineLevel="1" collapsed="1" x14ac:dyDescent="0.25">
      <c r="A35" s="27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0</v>
      </c>
      <c r="E35" s="1"/>
      <c r="F35" s="5">
        <f t="shared" si="24"/>
        <v>0</v>
      </c>
      <c r="G35" s="1"/>
      <c r="H35" s="1">
        <f>SUM(OSRRefH22_2x_0)</f>
        <v>60</v>
      </c>
      <c r="I35" s="1"/>
      <c r="J35" s="5">
        <f t="shared" si="25"/>
        <v>0</v>
      </c>
      <c r="K35" s="1"/>
      <c r="L35" s="1">
        <f t="shared" si="26"/>
        <v>-60</v>
      </c>
      <c r="M35" s="1"/>
      <c r="N35" s="5">
        <f t="shared" si="27"/>
        <v>-1</v>
      </c>
      <c r="O35" s="14"/>
      <c r="P35" s="1">
        <f>SUM(OSRRefP22_2x_0)</f>
        <v>0</v>
      </c>
      <c r="Q35" s="1"/>
      <c r="R35" s="5">
        <f t="shared" si="28"/>
        <v>0</v>
      </c>
      <c r="S35" s="1"/>
      <c r="T35" s="1">
        <f>SUM(OSRRefT22_2x_0)</f>
        <v>240</v>
      </c>
      <c r="U35" s="1"/>
      <c r="V35" s="5">
        <f t="shared" si="29"/>
        <v>0</v>
      </c>
      <c r="W35" s="1"/>
      <c r="X35" s="1">
        <f t="shared" si="30"/>
        <v>-240</v>
      </c>
      <c r="Y35" s="1"/>
      <c r="Z35" s="5">
        <f t="shared" si="31"/>
        <v>-1</v>
      </c>
    </row>
    <row r="36" spans="1:26" s="24" customFormat="1" hidden="1" outlineLevel="2" x14ac:dyDescent="0.25">
      <c r="A36" s="29"/>
      <c r="B36" s="11" t="str">
        <f>CONCATENATE("          ", "6381", " - ", "BANK/CREDIT CARD FEES")</f>
        <v xml:space="preserve">          6381 - BANK/CREDIT CARD FEES</v>
      </c>
      <c r="C36" s="11"/>
      <c r="D36" s="6"/>
      <c r="E36" s="2"/>
      <c r="F36" s="7">
        <f t="shared" si="24"/>
        <v>0</v>
      </c>
      <c r="G36" s="2"/>
      <c r="H36" s="6">
        <v>60</v>
      </c>
      <c r="I36" s="2"/>
      <c r="J36" s="7">
        <f t="shared" si="25"/>
        <v>0</v>
      </c>
      <c r="K36" s="2"/>
      <c r="L36" s="6">
        <f t="shared" si="26"/>
        <v>-60</v>
      </c>
      <c r="M36" s="2"/>
      <c r="N36" s="7">
        <f t="shared" si="27"/>
        <v>-1</v>
      </c>
      <c r="O36" s="11"/>
      <c r="P36" s="6"/>
      <c r="Q36" s="2"/>
      <c r="R36" s="7">
        <f t="shared" si="28"/>
        <v>0</v>
      </c>
      <c r="S36" s="2"/>
      <c r="T36" s="6">
        <v>240</v>
      </c>
      <c r="U36" s="2"/>
      <c r="V36" s="7">
        <f t="shared" si="29"/>
        <v>0</v>
      </c>
      <c r="W36" s="2"/>
      <c r="X36" s="6">
        <f t="shared" si="30"/>
        <v>-240</v>
      </c>
      <c r="Y36" s="2"/>
      <c r="Z36" s="7">
        <f t="shared" si="31"/>
        <v>-1</v>
      </c>
    </row>
    <row r="37" spans="1:26" s="28" customFormat="1" outlineLevel="1" collapsed="1" x14ac:dyDescent="0.25">
      <c r="A37" s="27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SUM(OSRRefD22_3x_0)</f>
        <v>0</v>
      </c>
      <c r="E37" s="1"/>
      <c r="F37" s="5">
        <f t="shared" si="24"/>
        <v>0</v>
      </c>
      <c r="G37" s="1"/>
      <c r="H37" s="1">
        <f>SUM(OSRRefH22_3x_0)</f>
        <v>85.43</v>
      </c>
      <c r="I37" s="1"/>
      <c r="J37" s="5">
        <f t="shared" si="25"/>
        <v>0</v>
      </c>
      <c r="K37" s="1"/>
      <c r="L37" s="1">
        <f t="shared" si="26"/>
        <v>-85.43</v>
      </c>
      <c r="M37" s="1"/>
      <c r="N37" s="5">
        <f t="shared" si="27"/>
        <v>-1</v>
      </c>
      <c r="O37" s="14"/>
      <c r="P37" s="1">
        <f>SUM(OSRRefP22_3x_0)</f>
        <v>0</v>
      </c>
      <c r="Q37" s="1"/>
      <c r="R37" s="5">
        <f t="shared" si="28"/>
        <v>0</v>
      </c>
      <c r="S37" s="1"/>
      <c r="T37" s="1">
        <f>SUM(OSRRefT22_3x_0)</f>
        <v>95.43</v>
      </c>
      <c r="U37" s="1"/>
      <c r="V37" s="5">
        <f t="shared" si="29"/>
        <v>0</v>
      </c>
      <c r="W37" s="1"/>
      <c r="X37" s="1">
        <f t="shared" si="30"/>
        <v>-95.43</v>
      </c>
      <c r="Y37" s="1"/>
      <c r="Z37" s="5">
        <f t="shared" si="31"/>
        <v>-1</v>
      </c>
    </row>
    <row r="38" spans="1:26" s="24" customFormat="1" hidden="1" outlineLevel="2" x14ac:dyDescent="0.25">
      <c r="A38" s="29"/>
      <c r="B38" s="11" t="str">
        <f>CONCATENATE("          ", "6305", " - ", "FREIGHT OUT")</f>
        <v xml:space="preserve">          6305 - FREIGHT OUT</v>
      </c>
      <c r="C38" s="11"/>
      <c r="D38" s="6"/>
      <c r="E38" s="2"/>
      <c r="F38" s="7">
        <f t="shared" si="24"/>
        <v>0</v>
      </c>
      <c r="G38" s="2"/>
      <c r="H38" s="6">
        <v>85.43</v>
      </c>
      <c r="I38" s="2"/>
      <c r="J38" s="7">
        <f t="shared" si="25"/>
        <v>0</v>
      </c>
      <c r="K38" s="2"/>
      <c r="L38" s="6">
        <f t="shared" si="26"/>
        <v>-85.43</v>
      </c>
      <c r="M38" s="2"/>
      <c r="N38" s="7">
        <f t="shared" si="27"/>
        <v>-1</v>
      </c>
      <c r="O38" s="11"/>
      <c r="P38" s="6"/>
      <c r="Q38" s="2"/>
      <c r="R38" s="7">
        <f t="shared" si="28"/>
        <v>0</v>
      </c>
      <c r="S38" s="2"/>
      <c r="T38" s="6">
        <v>95.43</v>
      </c>
      <c r="U38" s="2"/>
      <c r="V38" s="7">
        <f t="shared" si="29"/>
        <v>0</v>
      </c>
      <c r="W38" s="2"/>
      <c r="X38" s="6">
        <f t="shared" si="30"/>
        <v>-95.43</v>
      </c>
      <c r="Y38" s="2"/>
      <c r="Z38" s="7">
        <f t="shared" si="31"/>
        <v>-1</v>
      </c>
    </row>
    <row r="39" spans="1:26" s="28" customFormat="1" outlineLevel="1" collapsed="1" x14ac:dyDescent="0.25">
      <c r="A39" s="27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0</v>
      </c>
      <c r="E39" s="1"/>
      <c r="F39" s="5">
        <f t="shared" si="24"/>
        <v>0</v>
      </c>
      <c r="G39" s="1"/>
      <c r="H39" s="1">
        <f>SUM(OSRRefH22_4x_0)</f>
        <v>0</v>
      </c>
      <c r="I39" s="1"/>
      <c r="J39" s="5">
        <f t="shared" si="25"/>
        <v>0</v>
      </c>
      <c r="K39" s="1"/>
      <c r="L39" s="1">
        <f t="shared" si="26"/>
        <v>0</v>
      </c>
      <c r="M39" s="1"/>
      <c r="N39" s="5">
        <f t="shared" si="27"/>
        <v>0</v>
      </c>
      <c r="O39" s="14"/>
      <c r="P39" s="1">
        <f>SUM(OSRRefP22_4x_0)</f>
        <v>0</v>
      </c>
      <c r="Q39" s="1"/>
      <c r="R39" s="5">
        <f t="shared" si="28"/>
        <v>0</v>
      </c>
      <c r="S39" s="1"/>
      <c r="T39" s="1">
        <f>SUM(OSRRefT22_4x_0)</f>
        <v>24.12</v>
      </c>
      <c r="U39" s="1"/>
      <c r="V39" s="5">
        <f t="shared" si="29"/>
        <v>0</v>
      </c>
      <c r="W39" s="1"/>
      <c r="X39" s="1">
        <f t="shared" si="30"/>
        <v>-24.12</v>
      </c>
      <c r="Y39" s="1"/>
      <c r="Z39" s="5">
        <f t="shared" si="31"/>
        <v>-1</v>
      </c>
    </row>
    <row r="40" spans="1:26" s="24" customFormat="1" hidden="1" outlineLevel="2" x14ac:dyDescent="0.25">
      <c r="A40" s="29"/>
      <c r="B40" s="11" t="str">
        <f>CONCATENATE("          ", "6373", " - ", "MAINTENANCE CONTRACTS")</f>
        <v xml:space="preserve">          6373 - MAINTENANCE CONTRACTS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0</v>
      </c>
      <c r="Q40" s="2"/>
      <c r="R40" s="7">
        <f t="shared" si="28"/>
        <v>0</v>
      </c>
      <c r="S40" s="2"/>
      <c r="T40" s="6">
        <v>24.12</v>
      </c>
      <c r="U40" s="2"/>
      <c r="V40" s="7">
        <f t="shared" si="29"/>
        <v>0</v>
      </c>
      <c r="W40" s="2"/>
      <c r="X40" s="6">
        <f t="shared" si="30"/>
        <v>-24.12</v>
      </c>
      <c r="Y40" s="2"/>
      <c r="Z40" s="7">
        <f t="shared" si="31"/>
        <v>-1</v>
      </c>
    </row>
    <row r="41" spans="1:26" s="28" customFormat="1" outlineLevel="1" collapsed="1" x14ac:dyDescent="0.25">
      <c r="A41" s="27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0</v>
      </c>
      <c r="E41" s="1"/>
      <c r="F41" s="5">
        <f t="shared" si="24"/>
        <v>0</v>
      </c>
      <c r="G41" s="1"/>
      <c r="H41" s="1">
        <f>SUM(OSRRefH22_5x_0)</f>
        <v>0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4"/>
      <c r="P41" s="1">
        <f>SUM(OSRRefP22_5x_0)</f>
        <v>0</v>
      </c>
      <c r="Q41" s="1"/>
      <c r="R41" s="5">
        <f t="shared" si="28"/>
        <v>0</v>
      </c>
      <c r="S41" s="1"/>
      <c r="T41" s="1">
        <f>SUM(OSRRefT22_5x_0)</f>
        <v>0</v>
      </c>
      <c r="U41" s="1"/>
      <c r="V41" s="5">
        <f t="shared" si="29"/>
        <v>0</v>
      </c>
      <c r="W41" s="1"/>
      <c r="X41" s="1">
        <f t="shared" si="30"/>
        <v>0</v>
      </c>
      <c r="Y41" s="1"/>
      <c r="Z41" s="5">
        <f t="shared" si="31"/>
        <v>0</v>
      </c>
    </row>
    <row r="42" spans="1:26" s="24" customFormat="1" hidden="1" outlineLevel="2" x14ac:dyDescent="0.25">
      <c r="A42" s="29"/>
      <c r="B42" s="11" t="str">
        <f>CONCATENATE("          ", "6247", " - ", "STORE SUPPLIES")</f>
        <v xml:space="preserve">          6247 - STORE SUPPLIES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0</v>
      </c>
      <c r="Q42" s="2"/>
      <c r="R42" s="7">
        <f t="shared" si="28"/>
        <v>0</v>
      </c>
      <c r="S42" s="2"/>
      <c r="T42" s="6"/>
      <c r="U42" s="2"/>
      <c r="V42" s="7">
        <f t="shared" si="29"/>
        <v>0</v>
      </c>
      <c r="W42" s="2"/>
      <c r="X42" s="6">
        <f t="shared" si="30"/>
        <v>0</v>
      </c>
      <c r="Y42" s="2"/>
      <c r="Z42" s="7">
        <f t="shared" si="31"/>
        <v>0</v>
      </c>
    </row>
    <row r="43" spans="1:26" s="28" customFormat="1" outlineLevel="1" collapsed="1" x14ac:dyDescent="0.25">
      <c r="A43" s="27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122</v>
      </c>
      <c r="I43" s="1"/>
      <c r="J43" s="5">
        <f t="shared" si="25"/>
        <v>0</v>
      </c>
      <c r="K43" s="1"/>
      <c r="L43" s="1">
        <f t="shared" si="26"/>
        <v>-122</v>
      </c>
      <c r="M43" s="1"/>
      <c r="N43" s="5">
        <f t="shared" si="27"/>
        <v>-1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536.35</v>
      </c>
      <c r="U43" s="1"/>
      <c r="V43" s="5">
        <f t="shared" si="29"/>
        <v>0</v>
      </c>
      <c r="W43" s="1"/>
      <c r="X43" s="1">
        <f t="shared" si="30"/>
        <v>-536.35</v>
      </c>
      <c r="Y43" s="1"/>
      <c r="Z43" s="5">
        <f t="shared" si="31"/>
        <v>-1</v>
      </c>
    </row>
    <row r="44" spans="1:26" s="24" customFormat="1" hidden="1" outlineLevel="2" x14ac:dyDescent="0.25">
      <c r="A44" s="29"/>
      <c r="B44" s="11" t="str">
        <f>CONCATENATE("          ", "6309", " - ", "TELEPHONE")</f>
        <v xml:space="preserve">          6309 - TELEPHONE</v>
      </c>
      <c r="C44" s="11"/>
      <c r="D44" s="6"/>
      <c r="E44" s="2"/>
      <c r="F44" s="7">
        <f t="shared" si="24"/>
        <v>0</v>
      </c>
      <c r="G44" s="2"/>
      <c r="H44" s="6">
        <v>122</v>
      </c>
      <c r="I44" s="2"/>
      <c r="J44" s="7">
        <f t="shared" si="25"/>
        <v>0</v>
      </c>
      <c r="K44" s="2"/>
      <c r="L44" s="6">
        <f t="shared" si="26"/>
        <v>-122</v>
      </c>
      <c r="M44" s="2"/>
      <c r="N44" s="7">
        <f t="shared" si="27"/>
        <v>-1</v>
      </c>
      <c r="O44" s="11"/>
      <c r="P44" s="6">
        <v>0</v>
      </c>
      <c r="Q44" s="2"/>
      <c r="R44" s="7">
        <f t="shared" si="28"/>
        <v>0</v>
      </c>
      <c r="S44" s="2"/>
      <c r="T44" s="6">
        <v>536.35</v>
      </c>
      <c r="U44" s="2"/>
      <c r="V44" s="7">
        <f t="shared" si="29"/>
        <v>0</v>
      </c>
      <c r="W44" s="2"/>
      <c r="X44" s="6">
        <f t="shared" si="30"/>
        <v>-536.35</v>
      </c>
      <c r="Y44" s="2"/>
      <c r="Z44" s="7">
        <f t="shared" si="31"/>
        <v>-1</v>
      </c>
    </row>
    <row r="45" spans="1:26" s="56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5" t="s">
        <v>292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6" t="s">
        <v>276</v>
      </c>
      <c r="C48" s="26"/>
      <c r="D48" s="22">
        <f>+D21-D23+D46</f>
        <v>0</v>
      </c>
      <c r="E48" s="13"/>
      <c r="F48" s="20">
        <f>IF(D$12=0,0,D48/D$12)</f>
        <v>0</v>
      </c>
      <c r="G48" s="13"/>
      <c r="H48" s="22">
        <f>+H21-H23+H46</f>
        <v>-8727.58</v>
      </c>
      <c r="I48" s="13"/>
      <c r="J48" s="20">
        <f>IF(H$12=0,0,H48/H$12)</f>
        <v>0</v>
      </c>
      <c r="K48" s="15"/>
      <c r="L48" s="22">
        <f>+D48-H48</f>
        <v>8727.58</v>
      </c>
      <c r="M48" s="15"/>
      <c r="N48" s="20">
        <f>IF(H48=0,0,L48/H48)</f>
        <v>-1</v>
      </c>
      <c r="O48" s="25"/>
      <c r="P48" s="22">
        <f>+P21-P23+P46</f>
        <v>0</v>
      </c>
      <c r="Q48" s="13"/>
      <c r="R48" s="20">
        <f>IF(P$12=0,0,P48/P$12)</f>
        <v>0</v>
      </c>
      <c r="S48" s="13"/>
      <c r="T48" s="22">
        <f>+T21-T23+T46</f>
        <v>-37051.770000000004</v>
      </c>
      <c r="U48" s="13"/>
      <c r="V48" s="20">
        <f>IF(T$12=0,0,T48/T$12)</f>
        <v>0</v>
      </c>
      <c r="W48" s="15"/>
      <c r="X48" s="22">
        <f>+P48-T48</f>
        <v>37051.770000000004</v>
      </c>
      <c r="Y48" s="15"/>
      <c r="Z48" s="20">
        <f>IF(T48=0,0,X48/T48)</f>
        <v>-1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127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6" t="s">
        <v>125</v>
      </c>
      <c r="C52" s="26"/>
      <c r="D52" s="33">
        <f>+D48-D50</f>
        <v>0</v>
      </c>
      <c r="E52" s="13"/>
      <c r="F52" s="31">
        <f>IF(D$12=0,0,D52/D$12)</f>
        <v>0</v>
      </c>
      <c r="G52" s="13"/>
      <c r="H52" s="33">
        <f>+H48-H50</f>
        <v>-8727.58</v>
      </c>
      <c r="I52" s="13"/>
      <c r="J52" s="31">
        <f>IF(H$12=0,0,H52/H$12)</f>
        <v>0</v>
      </c>
      <c r="K52" s="15"/>
      <c r="L52" s="33">
        <f>D52-H52</f>
        <v>8727.58</v>
      </c>
      <c r="M52" s="15"/>
      <c r="N52" s="31">
        <f>IF(H52=0,0,L52/H52)</f>
        <v>-1</v>
      </c>
      <c r="O52" s="25"/>
      <c r="P52" s="33">
        <f>+P48-P50</f>
        <v>0</v>
      </c>
      <c r="Q52" s="13"/>
      <c r="R52" s="31">
        <f>IF(P$12=0,0,P52/P$12)</f>
        <v>0</v>
      </c>
      <c r="S52" s="13"/>
      <c r="T52" s="33">
        <f>+T48-T50</f>
        <v>-37051.770000000004</v>
      </c>
      <c r="U52" s="13"/>
      <c r="V52" s="31">
        <f>IF(T$12=0,0,T52/T$12)</f>
        <v>0</v>
      </c>
      <c r="W52" s="15"/>
      <c r="X52" s="33">
        <f>P52-T52</f>
        <v>37051.770000000004</v>
      </c>
      <c r="Y52" s="15"/>
      <c r="Z52" s="31">
        <f>IF(T52=0,0,X52/T52)</f>
        <v>-1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6" t="s">
        <v>293</v>
      </c>
      <c r="C55" s="26"/>
      <c r="D55" s="34">
        <f>SUM(D52:D54)</f>
        <v>0</v>
      </c>
      <c r="E55" s="13"/>
      <c r="F55" s="30">
        <f>IF(D$12=0,0,D55/D$12)</f>
        <v>0</v>
      </c>
      <c r="G55" s="13"/>
      <c r="H55" s="34">
        <f>SUM(H52:H54)</f>
        <v>-8727.58</v>
      </c>
      <c r="I55" s="13"/>
      <c r="J55" s="30">
        <f>IF(H$12=0,0,H55/H$12)</f>
        <v>0</v>
      </c>
      <c r="K55" s="15"/>
      <c r="L55" s="34">
        <f>+D55-H55</f>
        <v>8727.58</v>
      </c>
      <c r="M55" s="15"/>
      <c r="N55" s="30">
        <f>IF(H55=0,0,L55/H55)</f>
        <v>-1</v>
      </c>
      <c r="O55" s="25"/>
      <c r="P55" s="34">
        <f>SUM(P52:P54)</f>
        <v>0</v>
      </c>
      <c r="Q55" s="13"/>
      <c r="R55" s="30">
        <f>IF(P$12=0,0,P55/P$12)</f>
        <v>0</v>
      </c>
      <c r="S55" s="13"/>
      <c r="T55" s="34">
        <f>SUM(T52:T54)</f>
        <v>-37051.770000000004</v>
      </c>
      <c r="U55" s="13"/>
      <c r="V55" s="30">
        <f>IF(T$12=0,0,T55/T$12)</f>
        <v>0</v>
      </c>
      <c r="W55" s="15"/>
      <c r="X55" s="34">
        <f>+P55-T55</f>
        <v>37051.770000000004</v>
      </c>
      <c r="Y55" s="15"/>
      <c r="Z55" s="30">
        <f>IF(T55=0,0,X55/T55)</f>
        <v>-1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61">
        <v>44517.967041516204</v>
      </c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7" t="s">
        <v>56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8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","321", " - ", "Corner Market")</f>
        <v>Department 321 - Corner Market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2476.4700000000003</v>
      </c>
      <c r="U12" s="4"/>
      <c r="V12" s="12"/>
      <c r="W12" s="4"/>
      <c r="X12" s="4">
        <f t="shared" ref="X12:X14" si="2">+P12-T12</f>
        <v>-2476.4700000000003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6">0</f>
        <v>0</v>
      </c>
      <c r="Q13" s="2"/>
      <c r="R13" s="19"/>
      <c r="S13" s="2"/>
      <c r="T13" s="2">
        <f>--444.59</f>
        <v>444.59</v>
      </c>
      <c r="U13" s="2"/>
      <c r="V13" s="19"/>
      <c r="W13" s="2"/>
      <c r="X13" s="2">
        <f t="shared" si="2"/>
        <v>-444.59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--2031.88</f>
        <v>2031.88</v>
      </c>
      <c r="U14" s="2"/>
      <c r="V14" s="19"/>
      <c r="W14" s="2"/>
      <c r="X14" s="2">
        <f t="shared" si="2"/>
        <v>-2031.88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256</v>
      </c>
      <c r="C16" s="10"/>
      <c r="D16" s="4">
        <f>SUM(OSRRefD16x_0)</f>
        <v>0</v>
      </c>
      <c r="E16" s="4"/>
      <c r="F16" s="12">
        <f t="shared" ref="F16:F17" si="7">IF(D$12=0,0,D16/D$12)</f>
        <v>0</v>
      </c>
      <c r="G16" s="4"/>
      <c r="H16" s="4">
        <f>SUM(OSRRefH16x_0)</f>
        <v>-478</v>
      </c>
      <c r="I16" s="4"/>
      <c r="J16" s="12">
        <f t="shared" ref="J16:J17" si="8">IF(H$12=0,0,H16/H$12)</f>
        <v>0</v>
      </c>
      <c r="K16" s="4"/>
      <c r="L16" s="4">
        <f t="shared" ref="L16:L17" si="9">+D16-H16</f>
        <v>478</v>
      </c>
      <c r="M16" s="4"/>
      <c r="N16" s="12">
        <f t="shared" ref="N16:N17" si="10">IF(H16=0,0,L16/H16)</f>
        <v>-1</v>
      </c>
      <c r="O16" s="10"/>
      <c r="P16" s="4">
        <f>SUM(OSRRefP16x_0)</f>
        <v>0</v>
      </c>
      <c r="Q16" s="4"/>
      <c r="R16" s="12">
        <f t="shared" ref="R16:R17" si="11">IF(P$12=0,0,P16/P$12)</f>
        <v>0</v>
      </c>
      <c r="S16" s="4"/>
      <c r="T16" s="4">
        <f>SUM(OSRRefT16x_0)</f>
        <v>-238.52</v>
      </c>
      <c r="U16" s="4"/>
      <c r="V16" s="12">
        <f t="shared" ref="V16:V17" si="12">IF(T$12=0,0,T16/T$12)</f>
        <v>-9.6314512188720225E-2</v>
      </c>
      <c r="W16" s="4"/>
      <c r="X16" s="4">
        <f t="shared" ref="X16:X17" si="13">+P16-T16</f>
        <v>238.52</v>
      </c>
      <c r="Y16" s="4"/>
      <c r="Z16" s="12">
        <f t="shared" ref="Z16:Z17" si="14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>
        <v>-478</v>
      </c>
      <c r="I17" s="2"/>
      <c r="J17" s="19">
        <f t="shared" si="8"/>
        <v>0</v>
      </c>
      <c r="K17" s="2"/>
      <c r="L17" s="2">
        <f t="shared" si="9"/>
        <v>478</v>
      </c>
      <c r="M17" s="2"/>
      <c r="N17" s="19">
        <f t="shared" si="10"/>
        <v>-1</v>
      </c>
      <c r="O17" s="11"/>
      <c r="P17" s="2"/>
      <c r="Q17" s="2"/>
      <c r="R17" s="19">
        <f t="shared" si="11"/>
        <v>0</v>
      </c>
      <c r="S17" s="2"/>
      <c r="T17" s="2">
        <v>-238.52</v>
      </c>
      <c r="U17" s="2"/>
      <c r="V17" s="19">
        <f t="shared" si="12"/>
        <v>-9.6314512188720225E-2</v>
      </c>
      <c r="W17" s="2"/>
      <c r="X17" s="2">
        <f t="shared" si="13"/>
        <v>238.52</v>
      </c>
      <c r="Y17" s="2"/>
      <c r="Z17" s="19">
        <f t="shared" si="14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107</v>
      </c>
      <c r="C19" s="26"/>
      <c r="D19" s="22">
        <f>D12-D16</f>
        <v>0</v>
      </c>
      <c r="E19" s="13"/>
      <c r="F19" s="20">
        <f>IF(D$12=0,0,D19/D$12)</f>
        <v>0</v>
      </c>
      <c r="G19" s="13"/>
      <c r="H19" s="22">
        <f>H12-H16</f>
        <v>478</v>
      </c>
      <c r="I19" s="13"/>
      <c r="J19" s="20">
        <f>IF(H$12=0,0,H19/H$12)</f>
        <v>0</v>
      </c>
      <c r="K19" s="15"/>
      <c r="L19" s="22">
        <f>+D19-H19</f>
        <v>-478</v>
      </c>
      <c r="M19" s="15"/>
      <c r="N19" s="20">
        <f>IF(H19=0,0,L19/H19)</f>
        <v>-1</v>
      </c>
      <c r="O19" s="25"/>
      <c r="P19" s="22">
        <f>P12-P16</f>
        <v>0</v>
      </c>
      <c r="Q19" s="13"/>
      <c r="R19" s="20">
        <f>IF(P$12=0,0,P19/P$12)</f>
        <v>0</v>
      </c>
      <c r="S19" s="13"/>
      <c r="T19" s="22">
        <f>T12-T16</f>
        <v>2714.9900000000002</v>
      </c>
      <c r="U19" s="13"/>
      <c r="V19" s="20">
        <f>IF(T$12=0,0,T19/T$12)</f>
        <v>1.0963145121887201</v>
      </c>
      <c r="W19" s="15"/>
      <c r="X19" s="22">
        <f>+P19-T19</f>
        <v>-2714.9900000000002</v>
      </c>
      <c r="Y19" s="15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294</v>
      </c>
      <c r="C21" s="10"/>
      <c r="D21" s="21">
        <f>SUM(OSRRefD22x_0)</f>
        <v>1610.94</v>
      </c>
      <c r="E21" s="21"/>
      <c r="F21" s="36">
        <f t="shared" ref="F21:F30" si="15">IF(D$12=0,0,D21/D$12)</f>
        <v>0</v>
      </c>
      <c r="G21" s="21"/>
      <c r="H21" s="21">
        <f>SUM(OSRRefH22x_0)</f>
        <v>4859.6699999999992</v>
      </c>
      <c r="I21" s="21"/>
      <c r="J21" s="36">
        <f t="shared" ref="J21:J30" si="16">IF(H$12=0,0,H21/H$12)</f>
        <v>0</v>
      </c>
      <c r="K21" s="4"/>
      <c r="L21" s="21">
        <f t="shared" ref="L21:L30" si="17">+D21-H21</f>
        <v>-3248.7299999999991</v>
      </c>
      <c r="M21" s="4"/>
      <c r="N21" s="36">
        <f t="shared" ref="N21:N30" si="18">IF(H21=0,0,L21/H21)</f>
        <v>-0.66850835550562071</v>
      </c>
      <c r="O21" s="10"/>
      <c r="P21" s="21">
        <f>SUM(OSRRefP22x_0)</f>
        <v>6383.79</v>
      </c>
      <c r="Q21" s="21"/>
      <c r="R21" s="36">
        <f t="shared" ref="R21:R30" si="19">IF(P$12=0,0,P21/P$12)</f>
        <v>0</v>
      </c>
      <c r="S21" s="21"/>
      <c r="T21" s="21">
        <f>SUM(OSRRefT22x_0)</f>
        <v>27676.500000000004</v>
      </c>
      <c r="U21" s="21"/>
      <c r="V21" s="36">
        <f t="shared" ref="V21:V30" si="20">IF(T$12=0,0,T21/T$12)</f>
        <v>11.175786502562115</v>
      </c>
      <c r="W21" s="4"/>
      <c r="X21" s="21">
        <f t="shared" ref="X21:X30" si="21">+P21-T21</f>
        <v>-21292.710000000003</v>
      </c>
      <c r="Y21" s="4"/>
      <c r="Z21" s="36">
        <f t="shared" ref="Z21:Z30" si="22">IF(T21=0,0,X21/T21)</f>
        <v>-0.76934258305782888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5"/>
        <v>0</v>
      </c>
      <c r="G22" s="1"/>
      <c r="H22" s="1">
        <f>SUM(OSRRefH22_0x_0)</f>
        <v>2222.1799999999998</v>
      </c>
      <c r="I22" s="1"/>
      <c r="J22" s="5">
        <f t="shared" si="16"/>
        <v>0</v>
      </c>
      <c r="K22" s="1"/>
      <c r="L22" s="1">
        <f t="shared" si="17"/>
        <v>-2222.1799999999998</v>
      </c>
      <c r="M22" s="1"/>
      <c r="N22" s="5">
        <f t="shared" si="18"/>
        <v>-1</v>
      </c>
      <c r="O22" s="14"/>
      <c r="P22" s="1">
        <f>SUM(OSRRefP22_0x_0)</f>
        <v>84.99</v>
      </c>
      <c r="Q22" s="1"/>
      <c r="R22" s="5">
        <f t="shared" si="19"/>
        <v>0</v>
      </c>
      <c r="S22" s="1"/>
      <c r="T22" s="1">
        <f>SUM(OSRRefT22_0x_0)</f>
        <v>6743.14</v>
      </c>
      <c r="U22" s="1"/>
      <c r="V22" s="5">
        <f t="shared" si="20"/>
        <v>2.7228837821576679</v>
      </c>
      <c r="W22" s="1"/>
      <c r="X22" s="1">
        <f t="shared" si="21"/>
        <v>-6658.1500000000005</v>
      </c>
      <c r="Y22" s="1"/>
      <c r="Z22" s="5">
        <f t="shared" si="22"/>
        <v>-0.98739607957123832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5"/>
        <v>0</v>
      </c>
      <c r="G23" s="2"/>
      <c r="H23" s="6">
        <v>575.9</v>
      </c>
      <c r="I23" s="2"/>
      <c r="J23" s="7">
        <f t="shared" si="16"/>
        <v>0</v>
      </c>
      <c r="K23" s="2"/>
      <c r="L23" s="6">
        <f t="shared" si="17"/>
        <v>-575.9</v>
      </c>
      <c r="M23" s="2"/>
      <c r="N23" s="7">
        <f t="shared" si="18"/>
        <v>-1</v>
      </c>
      <c r="O23" s="11"/>
      <c r="P23" s="6">
        <v>6.91</v>
      </c>
      <c r="Q23" s="2"/>
      <c r="R23" s="7">
        <f t="shared" si="19"/>
        <v>0</v>
      </c>
      <c r="S23" s="2"/>
      <c r="T23" s="6">
        <v>1507.97</v>
      </c>
      <c r="U23" s="2"/>
      <c r="V23" s="7">
        <f t="shared" si="20"/>
        <v>0.60891914701167382</v>
      </c>
      <c r="W23" s="2"/>
      <c r="X23" s="6">
        <f t="shared" si="21"/>
        <v>-1501.06</v>
      </c>
      <c r="Y23" s="2"/>
      <c r="Z23" s="7">
        <f t="shared" si="22"/>
        <v>-0.99541768072309122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5"/>
        <v>0</v>
      </c>
      <c r="G24" s="2"/>
      <c r="H24" s="6">
        <v>76.959999999999994</v>
      </c>
      <c r="I24" s="2"/>
      <c r="J24" s="7">
        <f t="shared" si="16"/>
        <v>0</v>
      </c>
      <c r="K24" s="2"/>
      <c r="L24" s="6">
        <f t="shared" si="17"/>
        <v>-76.959999999999994</v>
      </c>
      <c r="M24" s="2"/>
      <c r="N24" s="7">
        <f t="shared" si="18"/>
        <v>-1</v>
      </c>
      <c r="O24" s="11"/>
      <c r="P24" s="6"/>
      <c r="Q24" s="2"/>
      <c r="R24" s="7">
        <f t="shared" si="19"/>
        <v>0</v>
      </c>
      <c r="S24" s="2"/>
      <c r="T24" s="6">
        <v>307.83999999999997</v>
      </c>
      <c r="U24" s="2"/>
      <c r="V24" s="7">
        <f t="shared" si="20"/>
        <v>0.12430596776863841</v>
      </c>
      <c r="W24" s="2"/>
      <c r="X24" s="6">
        <f t="shared" si="21"/>
        <v>-307.83999999999997</v>
      </c>
      <c r="Y24" s="2"/>
      <c r="Z24" s="7">
        <f t="shared" si="22"/>
        <v>-1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5"/>
        <v>0</v>
      </c>
      <c r="G25" s="2"/>
      <c r="H25" s="6">
        <v>683.68</v>
      </c>
      <c r="I25" s="2"/>
      <c r="J25" s="7">
        <f t="shared" si="16"/>
        <v>0</v>
      </c>
      <c r="K25" s="2"/>
      <c r="L25" s="6">
        <f t="shared" si="17"/>
        <v>-683.68</v>
      </c>
      <c r="M25" s="2"/>
      <c r="N25" s="7">
        <f t="shared" si="18"/>
        <v>-1</v>
      </c>
      <c r="O25" s="11"/>
      <c r="P25" s="6"/>
      <c r="Q25" s="2"/>
      <c r="R25" s="7">
        <f t="shared" si="19"/>
        <v>0</v>
      </c>
      <c r="S25" s="2"/>
      <c r="T25" s="6">
        <v>2051.04</v>
      </c>
      <c r="U25" s="2"/>
      <c r="V25" s="7">
        <f t="shared" si="20"/>
        <v>0.82821112309052791</v>
      </c>
      <c r="W25" s="2"/>
      <c r="X25" s="6">
        <f t="shared" si="21"/>
        <v>-2051.04</v>
      </c>
      <c r="Y25" s="2"/>
      <c r="Z25" s="7">
        <f t="shared" si="22"/>
        <v>-1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5"/>
        <v>0</v>
      </c>
      <c r="G26" s="2"/>
      <c r="H26" s="6">
        <v>10.82</v>
      </c>
      <c r="I26" s="2"/>
      <c r="J26" s="7">
        <f t="shared" si="16"/>
        <v>0</v>
      </c>
      <c r="K26" s="2"/>
      <c r="L26" s="6">
        <f t="shared" si="17"/>
        <v>-10.82</v>
      </c>
      <c r="M26" s="2"/>
      <c r="N26" s="7">
        <f t="shared" si="18"/>
        <v>-1</v>
      </c>
      <c r="O26" s="11"/>
      <c r="P26" s="6"/>
      <c r="Q26" s="2"/>
      <c r="R26" s="7">
        <f t="shared" si="19"/>
        <v>0</v>
      </c>
      <c r="S26" s="2"/>
      <c r="T26" s="6">
        <v>43.28</v>
      </c>
      <c r="U26" s="2"/>
      <c r="V26" s="7">
        <f t="shared" si="20"/>
        <v>1.7476488711755039E-2</v>
      </c>
      <c r="W26" s="2"/>
      <c r="X26" s="6">
        <f t="shared" si="21"/>
        <v>-43.28</v>
      </c>
      <c r="Y26" s="2"/>
      <c r="Z26" s="7">
        <f t="shared" si="22"/>
        <v>-1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5"/>
        <v>0</v>
      </c>
      <c r="G27" s="2"/>
      <c r="H27" s="6">
        <v>192.94</v>
      </c>
      <c r="I27" s="2"/>
      <c r="J27" s="7">
        <f t="shared" si="16"/>
        <v>0</v>
      </c>
      <c r="K27" s="2"/>
      <c r="L27" s="6">
        <f t="shared" si="17"/>
        <v>-192.94</v>
      </c>
      <c r="M27" s="2"/>
      <c r="N27" s="7">
        <f t="shared" si="18"/>
        <v>-1</v>
      </c>
      <c r="O27" s="11"/>
      <c r="P27" s="6"/>
      <c r="Q27" s="2"/>
      <c r="R27" s="7">
        <f t="shared" si="19"/>
        <v>0</v>
      </c>
      <c r="S27" s="2"/>
      <c r="T27" s="6">
        <v>996.86</v>
      </c>
      <c r="U27" s="2"/>
      <c r="V27" s="7">
        <f t="shared" si="20"/>
        <v>0.40253263718114896</v>
      </c>
      <c r="W27" s="2"/>
      <c r="X27" s="6">
        <f t="shared" si="21"/>
        <v>-996.86</v>
      </c>
      <c r="Y27" s="2"/>
      <c r="Z27" s="7">
        <f t="shared" si="22"/>
        <v>-1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5"/>
        <v>0</v>
      </c>
      <c r="G28" s="2"/>
      <c r="H28" s="6">
        <v>359.58</v>
      </c>
      <c r="I28" s="2"/>
      <c r="J28" s="7">
        <f t="shared" si="16"/>
        <v>0</v>
      </c>
      <c r="K28" s="2"/>
      <c r="L28" s="6">
        <f t="shared" si="17"/>
        <v>-359.58</v>
      </c>
      <c r="M28" s="2"/>
      <c r="N28" s="7">
        <f t="shared" si="18"/>
        <v>-1</v>
      </c>
      <c r="O28" s="11"/>
      <c r="P28" s="6"/>
      <c r="Q28" s="2"/>
      <c r="R28" s="7">
        <f t="shared" si="19"/>
        <v>0</v>
      </c>
      <c r="S28" s="2"/>
      <c r="T28" s="6">
        <v>839.02</v>
      </c>
      <c r="U28" s="2"/>
      <c r="V28" s="7">
        <f t="shared" si="20"/>
        <v>0.33879675505861162</v>
      </c>
      <c r="W28" s="2"/>
      <c r="X28" s="6">
        <f t="shared" si="21"/>
        <v>-839.02</v>
      </c>
      <c r="Y28" s="2"/>
      <c r="Z28" s="7">
        <f t="shared" si="22"/>
        <v>-1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5"/>
        <v>0</v>
      </c>
      <c r="G29" s="2"/>
      <c r="H29" s="6">
        <v>287.82</v>
      </c>
      <c r="I29" s="2"/>
      <c r="J29" s="7">
        <f t="shared" si="16"/>
        <v>0</v>
      </c>
      <c r="K29" s="2"/>
      <c r="L29" s="6">
        <f t="shared" si="17"/>
        <v>-287.82</v>
      </c>
      <c r="M29" s="2"/>
      <c r="N29" s="7">
        <f t="shared" si="18"/>
        <v>-1</v>
      </c>
      <c r="O29" s="11"/>
      <c r="P29" s="6"/>
      <c r="Q29" s="2"/>
      <c r="R29" s="7">
        <f t="shared" si="19"/>
        <v>0</v>
      </c>
      <c r="S29" s="2"/>
      <c r="T29" s="6">
        <v>671.58</v>
      </c>
      <c r="U29" s="2"/>
      <c r="V29" s="7">
        <f t="shared" si="20"/>
        <v>0.27118438745472384</v>
      </c>
      <c r="W29" s="2"/>
      <c r="X29" s="6">
        <f t="shared" si="21"/>
        <v>-671.58</v>
      </c>
      <c r="Y29" s="2"/>
      <c r="Z29" s="7">
        <f t="shared" si="22"/>
        <v>-1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5"/>
        <v>0</v>
      </c>
      <c r="G30" s="2"/>
      <c r="H30" s="6">
        <v>34.479999999999997</v>
      </c>
      <c r="I30" s="2"/>
      <c r="J30" s="7">
        <f t="shared" si="16"/>
        <v>0</v>
      </c>
      <c r="K30" s="2"/>
      <c r="L30" s="6">
        <f t="shared" si="17"/>
        <v>-34.479999999999997</v>
      </c>
      <c r="M30" s="2"/>
      <c r="N30" s="7">
        <f t="shared" si="18"/>
        <v>-1</v>
      </c>
      <c r="O30" s="11"/>
      <c r="P30" s="6">
        <v>78.08</v>
      </c>
      <c r="Q30" s="2"/>
      <c r="R30" s="7">
        <f t="shared" si="19"/>
        <v>0</v>
      </c>
      <c r="S30" s="2"/>
      <c r="T30" s="6">
        <v>325.55</v>
      </c>
      <c r="U30" s="2"/>
      <c r="V30" s="7">
        <f t="shared" si="20"/>
        <v>0.13145727588058809</v>
      </c>
      <c r="W30" s="2"/>
      <c r="X30" s="6">
        <f t="shared" si="21"/>
        <v>-247.47000000000003</v>
      </c>
      <c r="Y30" s="2"/>
      <c r="Z30" s="7">
        <f t="shared" si="22"/>
        <v>-0.76015972968821999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4" si="23">IF(D$12=0,0,D31/D$12)</f>
        <v>0</v>
      </c>
      <c r="G31" s="1"/>
      <c r="H31" s="1">
        <f>SUM(OSRRefH22_1x_0)</f>
        <v>1039.8600000000001</v>
      </c>
      <c r="I31" s="1"/>
      <c r="J31" s="5">
        <f t="shared" ref="J31:J34" si="24">IF(H$12=0,0,H31/H$12)</f>
        <v>0</v>
      </c>
      <c r="K31" s="1"/>
      <c r="L31" s="1">
        <f t="shared" ref="L31:L34" si="25">+D31-H31</f>
        <v>-1039.8600000000001</v>
      </c>
      <c r="M31" s="1"/>
      <c r="N31" s="5">
        <f t="shared" ref="N31:N34" si="26">IF(H31=0,0,L31/H31)</f>
        <v>-1</v>
      </c>
      <c r="O31" s="14"/>
      <c r="P31" s="1">
        <f>SUM(OSRRefP22_1x_0)</f>
        <v>90.3</v>
      </c>
      <c r="Q31" s="1"/>
      <c r="R31" s="5">
        <f t="shared" ref="R31:R34" si="27">IF(P$12=0,0,P31/P$12)</f>
        <v>0</v>
      </c>
      <c r="S31" s="1"/>
      <c r="T31" s="1">
        <f>SUM(OSRRefT22_1x_0)</f>
        <v>14195.96</v>
      </c>
      <c r="U31" s="1"/>
      <c r="V31" s="5">
        <f t="shared" ref="V31:V34" si="28">IF(T$12=0,0,T31/T$12)</f>
        <v>5.7323367535241685</v>
      </c>
      <c r="W31" s="1"/>
      <c r="X31" s="1">
        <f t="shared" ref="X31:X34" si="29">+P31-T31</f>
        <v>-14105.66</v>
      </c>
      <c r="Y31" s="1"/>
      <c r="Z31" s="5">
        <f t="shared" ref="Z31:Z34" si="30">IF(T31=0,0,X31/T31)</f>
        <v>-0.99363903533117881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3"/>
        <v>0</v>
      </c>
      <c r="G32" s="2"/>
      <c r="H32" s="6">
        <v>1040</v>
      </c>
      <c r="I32" s="2"/>
      <c r="J32" s="7">
        <f t="shared" si="24"/>
        <v>0</v>
      </c>
      <c r="K32" s="2"/>
      <c r="L32" s="6">
        <f t="shared" si="25"/>
        <v>-1040</v>
      </c>
      <c r="M32" s="2"/>
      <c r="N32" s="7">
        <f t="shared" si="26"/>
        <v>-1</v>
      </c>
      <c r="O32" s="11"/>
      <c r="P32" s="6"/>
      <c r="Q32" s="2"/>
      <c r="R32" s="7">
        <f t="shared" si="27"/>
        <v>0</v>
      </c>
      <c r="S32" s="2"/>
      <c r="T32" s="6">
        <v>12064</v>
      </c>
      <c r="U32" s="2"/>
      <c r="V32" s="7">
        <f t="shared" si="28"/>
        <v>4.8714500882304241</v>
      </c>
      <c r="W32" s="2"/>
      <c r="X32" s="6">
        <f t="shared" si="29"/>
        <v>-12064</v>
      </c>
      <c r="Y32" s="2"/>
      <c r="Z32" s="7">
        <f t="shared" si="30"/>
        <v>-1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3"/>
        <v>0</v>
      </c>
      <c r="G33" s="2"/>
      <c r="H33" s="6">
        <v>347.86</v>
      </c>
      <c r="I33" s="2"/>
      <c r="J33" s="7">
        <f t="shared" si="24"/>
        <v>0</v>
      </c>
      <c r="K33" s="2"/>
      <c r="L33" s="6">
        <f t="shared" si="25"/>
        <v>-347.86</v>
      </c>
      <c r="M33" s="2"/>
      <c r="N33" s="7">
        <f t="shared" si="26"/>
        <v>-1</v>
      </c>
      <c r="O33" s="11"/>
      <c r="P33" s="6">
        <v>90.3</v>
      </c>
      <c r="Q33" s="2"/>
      <c r="R33" s="7">
        <f t="shared" si="27"/>
        <v>0</v>
      </c>
      <c r="S33" s="2"/>
      <c r="T33" s="6">
        <v>2131.96</v>
      </c>
      <c r="U33" s="2"/>
      <c r="V33" s="7">
        <f t="shared" si="28"/>
        <v>0.86088666529374469</v>
      </c>
      <c r="W33" s="2"/>
      <c r="X33" s="6">
        <f t="shared" si="29"/>
        <v>-2041.66</v>
      </c>
      <c r="Y33" s="2"/>
      <c r="Z33" s="7">
        <f t="shared" si="30"/>
        <v>-0.95764460871686152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23"/>
        <v>0</v>
      </c>
      <c r="G34" s="2"/>
      <c r="H34" s="6">
        <v>-348</v>
      </c>
      <c r="I34" s="2"/>
      <c r="J34" s="7">
        <f t="shared" si="24"/>
        <v>0</v>
      </c>
      <c r="K34" s="2"/>
      <c r="L34" s="6">
        <f t="shared" si="25"/>
        <v>348</v>
      </c>
      <c r="M34" s="2"/>
      <c r="N34" s="7">
        <f t="shared" si="26"/>
        <v>-1</v>
      </c>
      <c r="O34" s="11"/>
      <c r="P34" s="6"/>
      <c r="Q34" s="2"/>
      <c r="R34" s="7">
        <f t="shared" si="27"/>
        <v>0</v>
      </c>
      <c r="S34" s="2"/>
      <c r="T34" s="6">
        <v>0</v>
      </c>
      <c r="U34" s="2"/>
      <c r="V34" s="7">
        <f t="shared" si="28"/>
        <v>0</v>
      </c>
      <c r="W34" s="2"/>
      <c r="X34" s="6">
        <f t="shared" si="29"/>
        <v>0</v>
      </c>
      <c r="Y34" s="2"/>
      <c r="Z34" s="7">
        <f t="shared" si="30"/>
        <v>0</v>
      </c>
    </row>
    <row r="35" spans="1:26" s="28" customFormat="1" outlineLevel="1" collapsed="1" x14ac:dyDescent="0.25">
      <c r="A35" s="27"/>
      <c r="B35" s="14" t="str">
        <f>CONCATENATE("     ","Bad Debts/Over/Short                              ")</f>
        <v xml:space="preserve">     Bad Debts/Over/Short                              </v>
      </c>
      <c r="C35" s="14"/>
      <c r="D35" s="1">
        <f>SUM(OSRRefD22_2x_0)</f>
        <v>0</v>
      </c>
      <c r="E35" s="1"/>
      <c r="F35" s="5">
        <f t="shared" ref="F35:F45" si="31">IF(D$12=0,0,D35/D$12)</f>
        <v>0</v>
      </c>
      <c r="G35" s="1"/>
      <c r="H35" s="1">
        <f>SUM(OSRRefH22_2x_0)</f>
        <v>0</v>
      </c>
      <c r="I35" s="1"/>
      <c r="J35" s="5">
        <f t="shared" ref="J35:J45" si="32">IF(H$12=0,0,H35/H$12)</f>
        <v>0</v>
      </c>
      <c r="K35" s="1"/>
      <c r="L35" s="1">
        <f t="shared" ref="L35:L45" si="33">+D35-H35</f>
        <v>0</v>
      </c>
      <c r="M35" s="1"/>
      <c r="N35" s="5">
        <f t="shared" ref="N35:N45" si="34">IF(H35=0,0,L35/H35)</f>
        <v>0</v>
      </c>
      <c r="O35" s="14"/>
      <c r="P35" s="1">
        <f>SUM(OSRRefP22_2x_0)</f>
        <v>0</v>
      </c>
      <c r="Q35" s="1"/>
      <c r="R35" s="5">
        <f t="shared" ref="R35:R45" si="35">IF(P$12=0,0,P35/P$12)</f>
        <v>0</v>
      </c>
      <c r="S35" s="1"/>
      <c r="T35" s="1">
        <f>SUM(OSRRefT22_2x_0)</f>
        <v>3.31</v>
      </c>
      <c r="U35" s="1"/>
      <c r="V35" s="5">
        <f t="shared" ref="V35:V45" si="36">IF(T$12=0,0,T35/T$12)</f>
        <v>1.3365798899239642E-3</v>
      </c>
      <c r="W35" s="1"/>
      <c r="X35" s="1">
        <f t="shared" ref="X35:X45" si="37">+P35-T35</f>
        <v>-3.31</v>
      </c>
      <c r="Y35" s="1"/>
      <c r="Z35" s="5">
        <f t="shared" ref="Z35:Z45" si="38">IF(T35=0,0,X35/T35)</f>
        <v>-1</v>
      </c>
    </row>
    <row r="36" spans="1:26" s="24" customFormat="1" hidden="1" outlineLevel="2" x14ac:dyDescent="0.25">
      <c r="A36" s="29"/>
      <c r="B36" s="11" t="str">
        <f>CONCATENATE("          ", "6272", " - ", "CASH (OVER/SHORT)")</f>
        <v xml:space="preserve">          6272 - CASH (OVER/SHORT)</v>
      </c>
      <c r="C36" s="11"/>
      <c r="D36" s="6"/>
      <c r="E36" s="2"/>
      <c r="F36" s="7">
        <f t="shared" si="31"/>
        <v>0</v>
      </c>
      <c r="G36" s="2"/>
      <c r="H36" s="6">
        <v>0</v>
      </c>
      <c r="I36" s="2"/>
      <c r="J36" s="7">
        <f t="shared" si="32"/>
        <v>0</v>
      </c>
      <c r="K36" s="2"/>
      <c r="L36" s="6">
        <f t="shared" si="33"/>
        <v>0</v>
      </c>
      <c r="M36" s="2"/>
      <c r="N36" s="7">
        <f t="shared" si="34"/>
        <v>0</v>
      </c>
      <c r="O36" s="11"/>
      <c r="P36" s="6"/>
      <c r="Q36" s="2"/>
      <c r="R36" s="7">
        <f t="shared" si="35"/>
        <v>0</v>
      </c>
      <c r="S36" s="2"/>
      <c r="T36" s="6">
        <v>3.31</v>
      </c>
      <c r="U36" s="2"/>
      <c r="V36" s="7">
        <f t="shared" si="36"/>
        <v>1.3365798899239642E-3</v>
      </c>
      <c r="W36" s="2"/>
      <c r="X36" s="6">
        <f t="shared" si="37"/>
        <v>-3.31</v>
      </c>
      <c r="Y36" s="2"/>
      <c r="Z36" s="7">
        <f t="shared" si="38"/>
        <v>-1</v>
      </c>
    </row>
    <row r="37" spans="1:26" s="28" customFormat="1" outlineLevel="1" collapsed="1" x14ac:dyDescent="0.25">
      <c r="A37" s="27"/>
      <c r="B37" s="14" t="str">
        <f>CONCATENATE("     ","Bank/card Fees                                    ")</f>
        <v xml:space="preserve">     Bank/card Fees                                    </v>
      </c>
      <c r="C37" s="14"/>
      <c r="D37" s="1">
        <f>SUM(OSRRefD22_3x_0)</f>
        <v>99.95</v>
      </c>
      <c r="E37" s="1"/>
      <c r="F37" s="5">
        <f t="shared" si="31"/>
        <v>0</v>
      </c>
      <c r="G37" s="1"/>
      <c r="H37" s="1">
        <f>SUM(OSRRefH22_3x_0)</f>
        <v>144.06</v>
      </c>
      <c r="I37" s="1"/>
      <c r="J37" s="5">
        <f t="shared" si="32"/>
        <v>0</v>
      </c>
      <c r="K37" s="1"/>
      <c r="L37" s="1">
        <f t="shared" si="33"/>
        <v>-44.11</v>
      </c>
      <c r="M37" s="1"/>
      <c r="N37" s="5">
        <f t="shared" si="34"/>
        <v>-0.30619186450090241</v>
      </c>
      <c r="O37" s="14"/>
      <c r="P37" s="1">
        <f>SUM(OSRRefP22_3x_0)</f>
        <v>375.36</v>
      </c>
      <c r="Q37" s="1"/>
      <c r="R37" s="5">
        <f t="shared" si="35"/>
        <v>0</v>
      </c>
      <c r="S37" s="1"/>
      <c r="T37" s="1">
        <f>SUM(OSRRefT22_3x_0)</f>
        <v>194.24</v>
      </c>
      <c r="U37" s="1"/>
      <c r="V37" s="5">
        <f t="shared" si="36"/>
        <v>7.8434222905991183E-2</v>
      </c>
      <c r="W37" s="1"/>
      <c r="X37" s="1">
        <f t="shared" si="37"/>
        <v>181.12</v>
      </c>
      <c r="Y37" s="1"/>
      <c r="Z37" s="5">
        <f t="shared" si="38"/>
        <v>0.93245469522240521</v>
      </c>
    </row>
    <row r="38" spans="1:26" s="24" customFormat="1" hidden="1" outlineLevel="2" x14ac:dyDescent="0.25">
      <c r="A38" s="29"/>
      <c r="B38" s="11" t="str">
        <f>CONCATENATE("          ", "6381", " - ", "BANK/CREDIT CARD FEES")</f>
        <v xml:space="preserve">          6381 - BANK/CREDIT CARD FEES</v>
      </c>
      <c r="C38" s="11"/>
      <c r="D38" s="6">
        <v>99.95</v>
      </c>
      <c r="E38" s="2"/>
      <c r="F38" s="7">
        <f t="shared" si="31"/>
        <v>0</v>
      </c>
      <c r="G38" s="2"/>
      <c r="H38" s="6">
        <v>144.06</v>
      </c>
      <c r="I38" s="2"/>
      <c r="J38" s="7">
        <f t="shared" si="32"/>
        <v>0</v>
      </c>
      <c r="K38" s="2"/>
      <c r="L38" s="6">
        <f t="shared" si="33"/>
        <v>-44.11</v>
      </c>
      <c r="M38" s="2"/>
      <c r="N38" s="7">
        <f t="shared" si="34"/>
        <v>-0.30619186450090241</v>
      </c>
      <c r="O38" s="11"/>
      <c r="P38" s="6">
        <v>375.36</v>
      </c>
      <c r="Q38" s="2"/>
      <c r="R38" s="7">
        <f t="shared" si="35"/>
        <v>0</v>
      </c>
      <c r="S38" s="2"/>
      <c r="T38" s="6">
        <v>194.24</v>
      </c>
      <c r="U38" s="2"/>
      <c r="V38" s="7">
        <f t="shared" si="36"/>
        <v>7.8434222905991183E-2</v>
      </c>
      <c r="W38" s="2"/>
      <c r="X38" s="6">
        <f t="shared" si="37"/>
        <v>181.12</v>
      </c>
      <c r="Y38" s="2"/>
      <c r="Z38" s="7">
        <f t="shared" si="38"/>
        <v>0.93245469522240521</v>
      </c>
    </row>
    <row r="39" spans="1:26" s="28" customFormat="1" outlineLevel="1" collapsed="1" x14ac:dyDescent="0.25">
      <c r="A39" s="27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SUM(OSRRefD22_4x_0)</f>
        <v>264.60000000000002</v>
      </c>
      <c r="E39" s="1"/>
      <c r="F39" s="5">
        <f t="shared" si="31"/>
        <v>0</v>
      </c>
      <c r="G39" s="1"/>
      <c r="H39" s="1">
        <f>SUM(OSRRefH22_4x_0)</f>
        <v>1075.3699999999999</v>
      </c>
      <c r="I39" s="1"/>
      <c r="J39" s="5">
        <f t="shared" si="32"/>
        <v>0</v>
      </c>
      <c r="K39" s="1"/>
      <c r="L39" s="1">
        <f t="shared" si="33"/>
        <v>-810.76999999999987</v>
      </c>
      <c r="M39" s="1"/>
      <c r="N39" s="5">
        <f t="shared" si="34"/>
        <v>-0.753945153761031</v>
      </c>
      <c r="O39" s="14"/>
      <c r="P39" s="1">
        <f>SUM(OSRRefP22_4x_0)</f>
        <v>3490.76</v>
      </c>
      <c r="Q39" s="1"/>
      <c r="R39" s="5">
        <f t="shared" si="35"/>
        <v>0</v>
      </c>
      <c r="S39" s="1"/>
      <c r="T39" s="1">
        <f>SUM(OSRRefT22_4x_0)</f>
        <v>4301.4799999999996</v>
      </c>
      <c r="U39" s="1"/>
      <c r="V39" s="5">
        <f t="shared" si="36"/>
        <v>1.7369400800332728</v>
      </c>
      <c r="W39" s="1"/>
      <c r="X39" s="1">
        <f t="shared" si="37"/>
        <v>-810.71999999999935</v>
      </c>
      <c r="Y39" s="1"/>
      <c r="Z39" s="5">
        <f t="shared" si="38"/>
        <v>-0.18847466453406722</v>
      </c>
    </row>
    <row r="40" spans="1:26" s="24" customFormat="1" hidden="1" outlineLevel="2" x14ac:dyDescent="0.25">
      <c r="A40" s="29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264.60000000000002</v>
      </c>
      <c r="E40" s="2"/>
      <c r="F40" s="7">
        <f t="shared" si="31"/>
        <v>0</v>
      </c>
      <c r="G40" s="2"/>
      <c r="H40" s="6">
        <v>1075.3699999999999</v>
      </c>
      <c r="I40" s="2"/>
      <c r="J40" s="7">
        <f t="shared" si="32"/>
        <v>0</v>
      </c>
      <c r="K40" s="2"/>
      <c r="L40" s="6">
        <f t="shared" si="33"/>
        <v>-810.76999999999987</v>
      </c>
      <c r="M40" s="2"/>
      <c r="N40" s="7">
        <f t="shared" si="34"/>
        <v>-0.753945153761031</v>
      </c>
      <c r="O40" s="11"/>
      <c r="P40" s="6">
        <v>3490.76</v>
      </c>
      <c r="Q40" s="2"/>
      <c r="R40" s="7">
        <f t="shared" si="35"/>
        <v>0</v>
      </c>
      <c r="S40" s="2"/>
      <c r="T40" s="6">
        <v>4301.4799999999996</v>
      </c>
      <c r="U40" s="2"/>
      <c r="V40" s="7">
        <f t="shared" si="36"/>
        <v>1.7369400800332728</v>
      </c>
      <c r="W40" s="2"/>
      <c r="X40" s="6">
        <f t="shared" si="37"/>
        <v>-810.71999999999935</v>
      </c>
      <c r="Y40" s="2"/>
      <c r="Z40" s="7">
        <f t="shared" si="38"/>
        <v>-0.18847466453406722</v>
      </c>
    </row>
    <row r="41" spans="1:26" s="28" customFormat="1" outlineLevel="1" collapsed="1" x14ac:dyDescent="0.25">
      <c r="A41" s="27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SUM(OSRRefD22_5x_0)</f>
        <v>0</v>
      </c>
      <c r="E41" s="1"/>
      <c r="F41" s="5">
        <f t="shared" si="31"/>
        <v>0</v>
      </c>
      <c r="G41" s="1"/>
      <c r="H41" s="1">
        <f>SUM(OSRRefH22_5x_0)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4"/>
      <c r="P41" s="1">
        <f>SUM(OSRRefP22_5x_0)</f>
        <v>769.55</v>
      </c>
      <c r="Q41" s="1"/>
      <c r="R41" s="5">
        <f t="shared" si="35"/>
        <v>0</v>
      </c>
      <c r="S41" s="1"/>
      <c r="T41" s="1">
        <f>SUM(OSRRefT22_5x_0)</f>
        <v>754.55</v>
      </c>
      <c r="U41" s="1"/>
      <c r="V41" s="5">
        <f t="shared" si="36"/>
        <v>0.3046877208284372</v>
      </c>
      <c r="W41" s="1"/>
      <c r="X41" s="1">
        <f t="shared" si="37"/>
        <v>15</v>
      </c>
      <c r="Y41" s="1"/>
      <c r="Z41" s="5">
        <f t="shared" si="38"/>
        <v>1.987939831687761E-2</v>
      </c>
    </row>
    <row r="42" spans="1:26" s="24" customFormat="1" hidden="1" outlineLevel="2" x14ac:dyDescent="0.25">
      <c r="A42" s="29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1"/>
      <c r="P42" s="6">
        <v>769.55</v>
      </c>
      <c r="Q42" s="2"/>
      <c r="R42" s="7">
        <f t="shared" si="35"/>
        <v>0</v>
      </c>
      <c r="S42" s="2"/>
      <c r="T42" s="6">
        <v>754.55</v>
      </c>
      <c r="U42" s="2"/>
      <c r="V42" s="7">
        <f t="shared" si="36"/>
        <v>0.3046877208284372</v>
      </c>
      <c r="W42" s="2"/>
      <c r="X42" s="6">
        <f t="shared" si="37"/>
        <v>15</v>
      </c>
      <c r="Y42" s="2"/>
      <c r="Z42" s="7">
        <f t="shared" si="38"/>
        <v>1.987939831687761E-2</v>
      </c>
    </row>
    <row r="43" spans="1:26" s="28" customFormat="1" outlineLevel="1" collapsed="1" x14ac:dyDescent="0.25">
      <c r="A43" s="27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SUM(OSRRefD22_6x_0)</f>
        <v>0</v>
      </c>
      <c r="E43" s="1"/>
      <c r="F43" s="5">
        <f t="shared" si="31"/>
        <v>0</v>
      </c>
      <c r="G43" s="1"/>
      <c r="H43" s="1">
        <f>SUM(OSRRefH22_6x_0)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4"/>
      <c r="P43" s="1">
        <f>SUM(OSRRefP22_6x_0)</f>
        <v>47.9</v>
      </c>
      <c r="Q43" s="1"/>
      <c r="R43" s="5">
        <f t="shared" si="35"/>
        <v>0</v>
      </c>
      <c r="S43" s="1"/>
      <c r="T43" s="1">
        <f>SUM(OSRRefT22_6x_0)</f>
        <v>444.39</v>
      </c>
      <c r="U43" s="1"/>
      <c r="V43" s="5">
        <f t="shared" si="36"/>
        <v>0.17944493573513912</v>
      </c>
      <c r="W43" s="1"/>
      <c r="X43" s="1">
        <f t="shared" si="37"/>
        <v>-396.49</v>
      </c>
      <c r="Y43" s="1"/>
      <c r="Z43" s="5">
        <f t="shared" si="38"/>
        <v>-0.89221179594500333</v>
      </c>
    </row>
    <row r="44" spans="1:26" s="24" customFormat="1" hidden="1" outlineLevel="2" x14ac:dyDescent="0.25">
      <c r="A44" s="29"/>
      <c r="B44" s="11" t="str">
        <f>CONCATENATE("          ", "6373", " - ", "MAINTENANCE CONTRACTS")</f>
        <v xml:space="preserve">          6373 - MAINTENANCE CONTRACTS</v>
      </c>
      <c r="C44" s="11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1"/>
      <c r="P44" s="6">
        <v>47.9</v>
      </c>
      <c r="Q44" s="2"/>
      <c r="R44" s="7">
        <f t="shared" si="35"/>
        <v>0</v>
      </c>
      <c r="S44" s="2"/>
      <c r="T44" s="6">
        <v>126.83</v>
      </c>
      <c r="U44" s="2"/>
      <c r="V44" s="7">
        <f t="shared" si="36"/>
        <v>5.1214026416633349E-2</v>
      </c>
      <c r="W44" s="2"/>
      <c r="X44" s="6">
        <f t="shared" si="37"/>
        <v>-78.930000000000007</v>
      </c>
      <c r="Y44" s="2"/>
      <c r="Z44" s="7">
        <f t="shared" si="38"/>
        <v>-0.62232910194748881</v>
      </c>
    </row>
    <row r="45" spans="1:26" s="24" customFormat="1" hidden="1" outlineLevel="2" x14ac:dyDescent="0.25">
      <c r="A45" s="29"/>
      <c r="B45" s="11" t="str">
        <f>CONCATENATE("          ", "6375", " - ", "OUTSIDE REPAIRS &amp; MAINTENANCE")</f>
        <v xml:space="preserve">          6375 - OUTSIDE REPAIRS &amp; MAINTENANCE</v>
      </c>
      <c r="C45" s="11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1"/>
      <c r="P45" s="6"/>
      <c r="Q45" s="2"/>
      <c r="R45" s="7">
        <f t="shared" si="35"/>
        <v>0</v>
      </c>
      <c r="S45" s="2"/>
      <c r="T45" s="6">
        <v>317.56</v>
      </c>
      <c r="U45" s="2"/>
      <c r="V45" s="7">
        <f t="shared" si="36"/>
        <v>0.12823090931850575</v>
      </c>
      <c r="W45" s="2"/>
      <c r="X45" s="6">
        <f t="shared" si="37"/>
        <v>-317.56</v>
      </c>
      <c r="Y45" s="2"/>
      <c r="Z45" s="7">
        <f t="shared" si="38"/>
        <v>-1</v>
      </c>
    </row>
    <row r="46" spans="1:26" s="28" customFormat="1" outlineLevel="1" collapsed="1" x14ac:dyDescent="0.25">
      <c r="A46" s="27"/>
      <c r="B46" s="14" t="str">
        <f>CONCATENATE("     ","Royalty &amp; Commissions                             ")</f>
        <v xml:space="preserve">     Royalty &amp; Commissions                             </v>
      </c>
      <c r="C46" s="14"/>
      <c r="D46" s="1">
        <f>SUM(OSRRefD22_7x_0)</f>
        <v>0</v>
      </c>
      <c r="E46" s="1"/>
      <c r="F46" s="5">
        <f t="shared" ref="F46:F50" si="39">IF(D$12=0,0,D46/D$12)</f>
        <v>0</v>
      </c>
      <c r="G46" s="1"/>
      <c r="H46" s="1">
        <f>SUM(OSRRefH22_7x_0)</f>
        <v>185.7</v>
      </c>
      <c r="I46" s="1"/>
      <c r="J46" s="5">
        <f t="shared" ref="J46:J50" si="40">IF(H$12=0,0,H46/H$12)</f>
        <v>0</v>
      </c>
      <c r="K46" s="1"/>
      <c r="L46" s="1">
        <f t="shared" ref="L46:L50" si="41">+D46-H46</f>
        <v>-185.7</v>
      </c>
      <c r="M46" s="1"/>
      <c r="N46" s="5">
        <f t="shared" ref="N46:N50" si="42">IF(H46=0,0,L46/H46)</f>
        <v>-1</v>
      </c>
      <c r="O46" s="14"/>
      <c r="P46" s="1">
        <f>SUM(OSRRefP22_7x_0)</f>
        <v>0</v>
      </c>
      <c r="Q46" s="1"/>
      <c r="R46" s="5">
        <f t="shared" ref="R46:R50" si="43">IF(P$12=0,0,P46/P$12)</f>
        <v>0</v>
      </c>
      <c r="S46" s="1"/>
      <c r="T46" s="1">
        <f>SUM(OSRRefT22_7x_0)</f>
        <v>185.7</v>
      </c>
      <c r="U46" s="1"/>
      <c r="V46" s="5">
        <f t="shared" ref="V46:V50" si="44">IF(T$12=0,0,T46/T$12)</f>
        <v>7.4985766029873155E-2</v>
      </c>
      <c r="W46" s="1"/>
      <c r="X46" s="1">
        <f t="shared" ref="X46:X50" si="45">+P46-T46</f>
        <v>-185.7</v>
      </c>
      <c r="Y46" s="1"/>
      <c r="Z46" s="5">
        <f t="shared" ref="Z46:Z50" si="46">IF(T46=0,0,X46/T46)</f>
        <v>-1</v>
      </c>
    </row>
    <row r="47" spans="1:26" s="24" customFormat="1" hidden="1" outlineLevel="2" x14ac:dyDescent="0.25">
      <c r="A47" s="29"/>
      <c r="B47" s="11" t="str">
        <f>CONCATENATE("          ", "6254", " - ", "ROYALTY &amp; COMMISSIONS")</f>
        <v xml:space="preserve">          6254 - ROYALTY &amp; COMMISSIONS</v>
      </c>
      <c r="C47" s="11"/>
      <c r="D47" s="6"/>
      <c r="E47" s="2"/>
      <c r="F47" s="7">
        <f t="shared" si="39"/>
        <v>0</v>
      </c>
      <c r="G47" s="2"/>
      <c r="H47" s="6">
        <v>185.7</v>
      </c>
      <c r="I47" s="2"/>
      <c r="J47" s="7">
        <f t="shared" si="40"/>
        <v>0</v>
      </c>
      <c r="K47" s="2"/>
      <c r="L47" s="6">
        <f t="shared" si="41"/>
        <v>-185.7</v>
      </c>
      <c r="M47" s="2"/>
      <c r="N47" s="7">
        <f t="shared" si="42"/>
        <v>-1</v>
      </c>
      <c r="O47" s="11"/>
      <c r="P47" s="6"/>
      <c r="Q47" s="2"/>
      <c r="R47" s="7">
        <f t="shared" si="43"/>
        <v>0</v>
      </c>
      <c r="S47" s="2"/>
      <c r="T47" s="6">
        <v>185.7</v>
      </c>
      <c r="U47" s="2"/>
      <c r="V47" s="7">
        <f t="shared" si="44"/>
        <v>7.4985766029873155E-2</v>
      </c>
      <c r="W47" s="2"/>
      <c r="X47" s="6">
        <f t="shared" si="45"/>
        <v>-185.7</v>
      </c>
      <c r="Y47" s="2"/>
      <c r="Z47" s="7">
        <f t="shared" si="46"/>
        <v>-1</v>
      </c>
    </row>
    <row r="48" spans="1:26" s="28" customFormat="1" outlineLevel="1" collapsed="1" x14ac:dyDescent="0.25">
      <c r="A48" s="27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0</v>
      </c>
      <c r="E48" s="1"/>
      <c r="F48" s="5">
        <f t="shared" si="39"/>
        <v>0</v>
      </c>
      <c r="G48" s="1"/>
      <c r="H48" s="1">
        <f>SUM(OSRRefH22_8x_0)</f>
        <v>0</v>
      </c>
      <c r="I48" s="1"/>
      <c r="J48" s="5">
        <f t="shared" si="40"/>
        <v>0</v>
      </c>
      <c r="K48" s="1"/>
      <c r="L48" s="1">
        <f t="shared" si="41"/>
        <v>0</v>
      </c>
      <c r="M48" s="1"/>
      <c r="N48" s="5">
        <f t="shared" si="42"/>
        <v>0</v>
      </c>
      <c r="O48" s="14"/>
      <c r="P48" s="1">
        <f>SUM(OSRRefP22_8x_0)</f>
        <v>103.2</v>
      </c>
      <c r="Q48" s="1"/>
      <c r="R48" s="5">
        <f t="shared" si="43"/>
        <v>0</v>
      </c>
      <c r="S48" s="1"/>
      <c r="T48" s="1">
        <f>SUM(OSRRefT22_8x_0)</f>
        <v>-104.32</v>
      </c>
      <c r="U48" s="1"/>
      <c r="V48" s="5">
        <f t="shared" si="44"/>
        <v>-4.2124475564008439E-2</v>
      </c>
      <c r="W48" s="1"/>
      <c r="X48" s="1">
        <f t="shared" si="45"/>
        <v>207.51999999999998</v>
      </c>
      <c r="Y48" s="1"/>
      <c r="Z48" s="5">
        <f t="shared" si="46"/>
        <v>-1.9892638036809815</v>
      </c>
    </row>
    <row r="49" spans="1:26" s="24" customFormat="1" hidden="1" outlineLevel="2" x14ac:dyDescent="0.25">
      <c r="A49" s="29"/>
      <c r="B49" s="11" t="str">
        <f>CONCATENATE("          ", "6282", " - ", "JANITORIAL/EXTERMINATOR EXPENS")</f>
        <v xml:space="preserve">          6282 - JANITORIAL/EXTERMINATOR EXPENS</v>
      </c>
      <c r="C49" s="11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1"/>
      <c r="P49" s="6"/>
      <c r="Q49" s="2"/>
      <c r="R49" s="7">
        <f t="shared" si="43"/>
        <v>0</v>
      </c>
      <c r="S49" s="2"/>
      <c r="T49" s="6">
        <v>41</v>
      </c>
      <c r="U49" s="2"/>
      <c r="V49" s="7">
        <f t="shared" si="44"/>
        <v>1.6555823409934299E-2</v>
      </c>
      <c r="W49" s="2"/>
      <c r="X49" s="6">
        <f t="shared" si="45"/>
        <v>-41</v>
      </c>
      <c r="Y49" s="2"/>
      <c r="Z49" s="7">
        <f t="shared" si="46"/>
        <v>-1</v>
      </c>
    </row>
    <row r="50" spans="1:26" s="24" customFormat="1" hidden="1" outlineLevel="2" x14ac:dyDescent="0.25">
      <c r="A50" s="29"/>
      <c r="B50" s="11" t="str">
        <f>CONCATENATE("          ", "6285", " - ", "JANITORIAL SERVICES")</f>
        <v xml:space="preserve">          6285 - JANITORIAL SERVICES</v>
      </c>
      <c r="C50" s="11"/>
      <c r="D50" s="6"/>
      <c r="E50" s="2"/>
      <c r="F50" s="7">
        <f t="shared" si="39"/>
        <v>0</v>
      </c>
      <c r="G50" s="2"/>
      <c r="H50" s="6"/>
      <c r="I50" s="2"/>
      <c r="J50" s="7">
        <f t="shared" si="40"/>
        <v>0</v>
      </c>
      <c r="K50" s="2"/>
      <c r="L50" s="6">
        <f t="shared" si="41"/>
        <v>0</v>
      </c>
      <c r="M50" s="2"/>
      <c r="N50" s="7">
        <f t="shared" si="42"/>
        <v>0</v>
      </c>
      <c r="O50" s="11"/>
      <c r="P50" s="6">
        <v>103.2</v>
      </c>
      <c r="Q50" s="2"/>
      <c r="R50" s="7">
        <f t="shared" si="43"/>
        <v>0</v>
      </c>
      <c r="S50" s="2"/>
      <c r="T50" s="6">
        <v>-145.32</v>
      </c>
      <c r="U50" s="2"/>
      <c r="V50" s="7">
        <f t="shared" si="44"/>
        <v>-5.8680298973942738E-2</v>
      </c>
      <c r="W50" s="2"/>
      <c r="X50" s="6">
        <f t="shared" si="45"/>
        <v>248.51999999999998</v>
      </c>
      <c r="Y50" s="2"/>
      <c r="Z50" s="7">
        <f t="shared" si="46"/>
        <v>-1.7101568951279933</v>
      </c>
    </row>
    <row r="51" spans="1:26" s="28" customFormat="1" outlineLevel="1" collapsed="1" x14ac:dyDescent="0.25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SUM(OSRRefD22_9x_0)</f>
        <v>1194.8900000000001</v>
      </c>
      <c r="E51" s="1"/>
      <c r="F51" s="5">
        <f t="shared" ref="F51:F56" si="47">IF(D$12=0,0,D51/D$12)</f>
        <v>0</v>
      </c>
      <c r="G51" s="1"/>
      <c r="H51" s="1">
        <f>SUM(OSRRefH22_9x_0)</f>
        <v>41</v>
      </c>
      <c r="I51" s="1"/>
      <c r="J51" s="5">
        <f t="shared" ref="J51:J56" si="48">IF(H$12=0,0,H51/H$12)</f>
        <v>0</v>
      </c>
      <c r="K51" s="1"/>
      <c r="L51" s="1">
        <f t="shared" ref="L51:L56" si="49">+D51-H51</f>
        <v>1153.8900000000001</v>
      </c>
      <c r="M51" s="1"/>
      <c r="N51" s="5">
        <f t="shared" ref="N51:N56" si="50">IF(H51=0,0,L51/H51)</f>
        <v>28.143658536585367</v>
      </c>
      <c r="O51" s="14"/>
      <c r="P51" s="1">
        <f>SUM(OSRRefP22_9x_0)</f>
        <v>1237.73</v>
      </c>
      <c r="Q51" s="1"/>
      <c r="R51" s="5">
        <f t="shared" ref="R51:R56" si="51">IF(P$12=0,0,P51/P$12)</f>
        <v>0</v>
      </c>
      <c r="S51" s="1"/>
      <c r="T51" s="1">
        <f>SUM(OSRRefT22_9x_0)</f>
        <v>328.55</v>
      </c>
      <c r="U51" s="1"/>
      <c r="V51" s="5">
        <f t="shared" ref="V51:V56" si="52">IF(T$12=0,0,T51/T$12)</f>
        <v>0.13266867759351011</v>
      </c>
      <c r="W51" s="1"/>
      <c r="X51" s="1">
        <f t="shared" ref="X51:X56" si="53">+P51-T51</f>
        <v>909.18000000000006</v>
      </c>
      <c r="Y51" s="1"/>
      <c r="Z51" s="5">
        <f t="shared" ref="Z51:Z56" si="54">IF(T51=0,0,X51/T51)</f>
        <v>2.7672500380459595</v>
      </c>
    </row>
    <row r="52" spans="1:26" s="24" customFormat="1" hidden="1" outlineLevel="2" x14ac:dyDescent="0.25">
      <c r="A52" s="29"/>
      <c r="B52" s="11" t="str">
        <f>CONCATENATE("          ", "6234", " - ", "EXPENDABLE SUPPLIES &amp; EQUIPMEN")</f>
        <v xml:space="preserve">          6234 - EXPENDABLE SUPPLIES &amp; EQUIPMEN</v>
      </c>
      <c r="C52" s="11"/>
      <c r="D52" s="6">
        <v>1194.8900000000001</v>
      </c>
      <c r="E52" s="2"/>
      <c r="F52" s="7">
        <f t="shared" si="47"/>
        <v>0</v>
      </c>
      <c r="G52" s="2"/>
      <c r="H52" s="6"/>
      <c r="I52" s="2"/>
      <c r="J52" s="7">
        <f t="shared" si="48"/>
        <v>0</v>
      </c>
      <c r="K52" s="2"/>
      <c r="L52" s="6">
        <f t="shared" si="49"/>
        <v>1194.8900000000001</v>
      </c>
      <c r="M52" s="2"/>
      <c r="N52" s="7">
        <f t="shared" si="50"/>
        <v>0</v>
      </c>
      <c r="O52" s="11"/>
      <c r="P52" s="6">
        <v>1194.8900000000001</v>
      </c>
      <c r="Q52" s="2"/>
      <c r="R52" s="7">
        <f t="shared" si="51"/>
        <v>0</v>
      </c>
      <c r="S52" s="2"/>
      <c r="T52" s="6"/>
      <c r="U52" s="2"/>
      <c r="V52" s="7">
        <f t="shared" si="52"/>
        <v>0</v>
      </c>
      <c r="W52" s="2"/>
      <c r="X52" s="6">
        <f t="shared" si="53"/>
        <v>1194.8900000000001</v>
      </c>
      <c r="Y52" s="2"/>
      <c r="Z52" s="7">
        <f t="shared" si="54"/>
        <v>0</v>
      </c>
    </row>
    <row r="53" spans="1:26" s="24" customFormat="1" hidden="1" outlineLevel="2" x14ac:dyDescent="0.25">
      <c r="A53" s="29"/>
      <c r="B53" s="11" t="str">
        <f>CONCATENATE("          ", "6235", " - ", "COVID-19 EXPENSES")</f>
        <v xml:space="preserve">          6235 - COVID-19 EXPENSES</v>
      </c>
      <c r="C53" s="11"/>
      <c r="D53" s="6"/>
      <c r="E53" s="2"/>
      <c r="F53" s="7">
        <f t="shared" si="47"/>
        <v>0</v>
      </c>
      <c r="G53" s="2"/>
      <c r="H53" s="6"/>
      <c r="I53" s="2"/>
      <c r="J53" s="7">
        <f t="shared" si="48"/>
        <v>0</v>
      </c>
      <c r="K53" s="2"/>
      <c r="L53" s="6">
        <f t="shared" si="49"/>
        <v>0</v>
      </c>
      <c r="M53" s="2"/>
      <c r="N53" s="7">
        <f t="shared" si="50"/>
        <v>0</v>
      </c>
      <c r="O53" s="11"/>
      <c r="P53" s="6"/>
      <c r="Q53" s="2"/>
      <c r="R53" s="7">
        <f t="shared" si="51"/>
        <v>0</v>
      </c>
      <c r="S53" s="2"/>
      <c r="T53" s="6">
        <v>207.27</v>
      </c>
      <c r="U53" s="2"/>
      <c r="V53" s="7">
        <f t="shared" si="52"/>
        <v>8.3695744345782502E-2</v>
      </c>
      <c r="W53" s="2"/>
      <c r="X53" s="6">
        <f t="shared" si="53"/>
        <v>-207.27</v>
      </c>
      <c r="Y53" s="2"/>
      <c r="Z53" s="7">
        <f t="shared" si="54"/>
        <v>-1</v>
      </c>
    </row>
    <row r="54" spans="1:26" s="24" customFormat="1" hidden="1" outlineLevel="2" x14ac:dyDescent="0.25">
      <c r="A54" s="29"/>
      <c r="B54" s="11" t="str">
        <f>CONCATENATE("          ", "6237", " - ", "JANITORIAL SUPPLIES")</f>
        <v xml:space="preserve">          6237 - JANITORIAL SUPPLIES</v>
      </c>
      <c r="C54" s="11"/>
      <c r="D54" s="6"/>
      <c r="E54" s="2"/>
      <c r="F54" s="7">
        <f t="shared" si="47"/>
        <v>0</v>
      </c>
      <c r="G54" s="2"/>
      <c r="H54" s="6"/>
      <c r="I54" s="2"/>
      <c r="J54" s="7">
        <f t="shared" si="48"/>
        <v>0</v>
      </c>
      <c r="K54" s="2"/>
      <c r="L54" s="6">
        <f t="shared" si="49"/>
        <v>0</v>
      </c>
      <c r="M54" s="2"/>
      <c r="N54" s="7">
        <f t="shared" si="50"/>
        <v>0</v>
      </c>
      <c r="O54" s="11"/>
      <c r="P54" s="6">
        <v>38.340000000000003</v>
      </c>
      <c r="Q54" s="2"/>
      <c r="R54" s="7">
        <f t="shared" si="51"/>
        <v>0</v>
      </c>
      <c r="S54" s="2"/>
      <c r="T54" s="6"/>
      <c r="U54" s="2"/>
      <c r="V54" s="7">
        <f t="shared" si="52"/>
        <v>0</v>
      </c>
      <c r="W54" s="2"/>
      <c r="X54" s="6">
        <f t="shared" si="53"/>
        <v>38.340000000000003</v>
      </c>
      <c r="Y54" s="2"/>
      <c r="Z54" s="7">
        <f t="shared" si="54"/>
        <v>0</v>
      </c>
    </row>
    <row r="55" spans="1:26" s="24" customFormat="1" hidden="1" outlineLevel="2" x14ac:dyDescent="0.25">
      <c r="A55" s="29"/>
      <c r="B55" s="11" t="str">
        <f>CONCATENATE("          ", "6241", " - ", "OFFICE EXPENSE")</f>
        <v xml:space="preserve">          6241 - OFFICE EXPENSE</v>
      </c>
      <c r="C55" s="11"/>
      <c r="D55" s="6"/>
      <c r="E55" s="2"/>
      <c r="F55" s="7">
        <f t="shared" si="47"/>
        <v>0</v>
      </c>
      <c r="G55" s="2"/>
      <c r="H55" s="6"/>
      <c r="I55" s="2"/>
      <c r="J55" s="7">
        <f t="shared" si="48"/>
        <v>0</v>
      </c>
      <c r="K55" s="2"/>
      <c r="L55" s="6">
        <f t="shared" si="49"/>
        <v>0</v>
      </c>
      <c r="M55" s="2"/>
      <c r="N55" s="7">
        <f t="shared" si="50"/>
        <v>0</v>
      </c>
      <c r="O55" s="11"/>
      <c r="P55" s="6">
        <v>4.5</v>
      </c>
      <c r="Q55" s="2"/>
      <c r="R55" s="7">
        <f t="shared" si="51"/>
        <v>0</v>
      </c>
      <c r="S55" s="2"/>
      <c r="T55" s="6"/>
      <c r="U55" s="2"/>
      <c r="V55" s="7">
        <f t="shared" si="52"/>
        <v>0</v>
      </c>
      <c r="W55" s="2"/>
      <c r="X55" s="6">
        <f t="shared" si="53"/>
        <v>4.5</v>
      </c>
      <c r="Y55" s="2"/>
      <c r="Z55" s="7">
        <f t="shared" si="54"/>
        <v>0</v>
      </c>
    </row>
    <row r="56" spans="1:26" s="24" customFormat="1" hidden="1" outlineLevel="2" x14ac:dyDescent="0.25">
      <c r="A56" s="29"/>
      <c r="B56" s="11" t="str">
        <f>CONCATENATE("          ", "6247", " - ", "STORE SUPPLIES")</f>
        <v xml:space="preserve">          6247 - STORE SUPPLIES</v>
      </c>
      <c r="C56" s="11"/>
      <c r="D56" s="6"/>
      <c r="E56" s="2"/>
      <c r="F56" s="7">
        <f t="shared" si="47"/>
        <v>0</v>
      </c>
      <c r="G56" s="2"/>
      <c r="H56" s="6">
        <v>41</v>
      </c>
      <c r="I56" s="2"/>
      <c r="J56" s="7">
        <f t="shared" si="48"/>
        <v>0</v>
      </c>
      <c r="K56" s="2"/>
      <c r="L56" s="6">
        <f t="shared" si="49"/>
        <v>-41</v>
      </c>
      <c r="M56" s="2"/>
      <c r="N56" s="7">
        <f t="shared" si="50"/>
        <v>-1</v>
      </c>
      <c r="O56" s="11"/>
      <c r="P56" s="6"/>
      <c r="Q56" s="2"/>
      <c r="R56" s="7">
        <f t="shared" si="51"/>
        <v>0</v>
      </c>
      <c r="S56" s="2"/>
      <c r="T56" s="6">
        <v>121.28</v>
      </c>
      <c r="U56" s="2"/>
      <c r="V56" s="7">
        <f t="shared" si="52"/>
        <v>4.8972933247727606E-2</v>
      </c>
      <c r="W56" s="2"/>
      <c r="X56" s="6">
        <f t="shared" si="53"/>
        <v>-121.28</v>
      </c>
      <c r="Y56" s="2"/>
      <c r="Z56" s="7">
        <f t="shared" si="54"/>
        <v>-1</v>
      </c>
    </row>
    <row r="57" spans="1:26" s="28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51.5</v>
      </c>
      <c r="E57" s="1"/>
      <c r="F57" s="5">
        <f t="shared" ref="F57:F60" si="55">IF(D$12=0,0,D57/D$12)</f>
        <v>0</v>
      </c>
      <c r="G57" s="1"/>
      <c r="H57" s="1">
        <f>SUM(OSRRefH22_10x_0)</f>
        <v>101.5</v>
      </c>
      <c r="I57" s="1"/>
      <c r="J57" s="5">
        <f t="shared" ref="J57:J60" si="56">IF(H$12=0,0,H57/H$12)</f>
        <v>0</v>
      </c>
      <c r="K57" s="1"/>
      <c r="L57" s="1">
        <f t="shared" ref="L57:L60" si="57">+D57-H57</f>
        <v>-50</v>
      </c>
      <c r="M57" s="1"/>
      <c r="N57" s="5">
        <f t="shared" ref="N57:N60" si="58">IF(H57=0,0,L57/H57)</f>
        <v>-0.49261083743842365</v>
      </c>
      <c r="O57" s="14"/>
      <c r="P57" s="1">
        <f>SUM(OSRRefP22_10x_0)</f>
        <v>184</v>
      </c>
      <c r="Q57" s="1"/>
      <c r="R57" s="5">
        <f t="shared" ref="R57:R60" si="59">IF(P$12=0,0,P57/P$12)</f>
        <v>0</v>
      </c>
      <c r="S57" s="1"/>
      <c r="T57" s="1">
        <f>SUM(OSRRefT22_10x_0)</f>
        <v>429.5</v>
      </c>
      <c r="U57" s="1"/>
      <c r="V57" s="5">
        <f t="shared" ref="V57:V60" si="60">IF(T$12=0,0,T57/T$12)</f>
        <v>0.17343234523333614</v>
      </c>
      <c r="W57" s="1"/>
      <c r="X57" s="1">
        <f t="shared" ref="X57:X60" si="61">+P57-T57</f>
        <v>-245.5</v>
      </c>
      <c r="Y57" s="1"/>
      <c r="Z57" s="5">
        <f t="shared" ref="Z57:Z60" si="62">IF(T57=0,0,X57/T57)</f>
        <v>-0.57159487776484286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6">
        <v>51.5</v>
      </c>
      <c r="E58" s="2"/>
      <c r="F58" s="7">
        <f t="shared" si="55"/>
        <v>0</v>
      </c>
      <c r="G58" s="2"/>
      <c r="H58" s="6">
        <v>101.5</v>
      </c>
      <c r="I58" s="2"/>
      <c r="J58" s="7">
        <f t="shared" si="56"/>
        <v>0</v>
      </c>
      <c r="K58" s="2"/>
      <c r="L58" s="6">
        <f t="shared" si="57"/>
        <v>-50</v>
      </c>
      <c r="M58" s="2"/>
      <c r="N58" s="7">
        <f t="shared" si="58"/>
        <v>-0.49261083743842365</v>
      </c>
      <c r="O58" s="11"/>
      <c r="P58" s="6">
        <v>184</v>
      </c>
      <c r="Q58" s="2"/>
      <c r="R58" s="7">
        <f t="shared" si="59"/>
        <v>0</v>
      </c>
      <c r="S58" s="2"/>
      <c r="T58" s="6">
        <v>429.5</v>
      </c>
      <c r="U58" s="2"/>
      <c r="V58" s="7">
        <f t="shared" si="60"/>
        <v>0.17343234523333614</v>
      </c>
      <c r="W58" s="2"/>
      <c r="X58" s="6">
        <f t="shared" si="61"/>
        <v>-245.5</v>
      </c>
      <c r="Y58" s="2"/>
      <c r="Z58" s="7">
        <f t="shared" si="62"/>
        <v>-0.57159487776484286</v>
      </c>
    </row>
    <row r="59" spans="1:26" s="28" customFormat="1" outlineLevel="1" collapsed="1" x14ac:dyDescent="0.25">
      <c r="A59" s="27"/>
      <c r="B59" s="14" t="str">
        <f>CONCATENATE("     ","Utilities                                         ")</f>
        <v xml:space="preserve">     Utilities                                         </v>
      </c>
      <c r="C59" s="14"/>
      <c r="D59" s="1">
        <f>SUM(OSRRefD22_11x_0)</f>
        <v>0</v>
      </c>
      <c r="E59" s="1"/>
      <c r="F59" s="5">
        <f t="shared" si="55"/>
        <v>0</v>
      </c>
      <c r="G59" s="1"/>
      <c r="H59" s="1">
        <f>SUM(OSRRefH22_11x_0)</f>
        <v>50</v>
      </c>
      <c r="I59" s="1"/>
      <c r="J59" s="5">
        <f t="shared" si="56"/>
        <v>0</v>
      </c>
      <c r="K59" s="1"/>
      <c r="L59" s="1">
        <f t="shared" si="57"/>
        <v>-50</v>
      </c>
      <c r="M59" s="1"/>
      <c r="N59" s="5">
        <f t="shared" si="58"/>
        <v>-1</v>
      </c>
      <c r="O59" s="14"/>
      <c r="P59" s="1">
        <f>SUM(OSRRefP22_11x_0)</f>
        <v>0</v>
      </c>
      <c r="Q59" s="1"/>
      <c r="R59" s="5">
        <f t="shared" si="59"/>
        <v>0</v>
      </c>
      <c r="S59" s="1"/>
      <c r="T59" s="1">
        <f>SUM(OSRRefT22_11x_0)</f>
        <v>200</v>
      </c>
      <c r="U59" s="1"/>
      <c r="V59" s="5">
        <f t="shared" si="60"/>
        <v>8.0760114194801461E-2</v>
      </c>
      <c r="W59" s="1"/>
      <c r="X59" s="1">
        <f t="shared" si="61"/>
        <v>-200</v>
      </c>
      <c r="Y59" s="1"/>
      <c r="Z59" s="5">
        <f t="shared" si="62"/>
        <v>-1</v>
      </c>
    </row>
    <row r="60" spans="1:26" s="24" customFormat="1" hidden="1" outlineLevel="2" x14ac:dyDescent="0.25">
      <c r="A60" s="29"/>
      <c r="B60" s="11" t="str">
        <f>CONCATENATE("          ", "6274", " - ", "UTILITIES")</f>
        <v xml:space="preserve">          6274 - UTILITIES</v>
      </c>
      <c r="C60" s="11"/>
      <c r="D60" s="6"/>
      <c r="E60" s="2"/>
      <c r="F60" s="7">
        <f t="shared" si="55"/>
        <v>0</v>
      </c>
      <c r="G60" s="2"/>
      <c r="H60" s="6">
        <v>50</v>
      </c>
      <c r="I60" s="2"/>
      <c r="J60" s="7">
        <f t="shared" si="56"/>
        <v>0</v>
      </c>
      <c r="K60" s="2"/>
      <c r="L60" s="6">
        <f t="shared" si="57"/>
        <v>-50</v>
      </c>
      <c r="M60" s="2"/>
      <c r="N60" s="7">
        <f t="shared" si="58"/>
        <v>-1</v>
      </c>
      <c r="O60" s="11"/>
      <c r="P60" s="6"/>
      <c r="Q60" s="2"/>
      <c r="R60" s="7">
        <f t="shared" si="59"/>
        <v>0</v>
      </c>
      <c r="S60" s="2"/>
      <c r="T60" s="6">
        <v>200</v>
      </c>
      <c r="U60" s="2"/>
      <c r="V60" s="7">
        <f t="shared" si="60"/>
        <v>8.0760114194801461E-2</v>
      </c>
      <c r="W60" s="2"/>
      <c r="X60" s="6">
        <f t="shared" si="61"/>
        <v>-200</v>
      </c>
      <c r="Y60" s="2"/>
      <c r="Z60" s="7">
        <f t="shared" si="62"/>
        <v>-1</v>
      </c>
    </row>
    <row r="61" spans="1:26" s="56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5" t="s">
        <v>292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6" t="s">
        <v>276</v>
      </c>
      <c r="C64" s="26"/>
      <c r="D64" s="22">
        <f>+D19-D21+D62</f>
        <v>-1610.94</v>
      </c>
      <c r="E64" s="13"/>
      <c r="F64" s="20">
        <f>IF(D$12=0,0,D64/D$12)</f>
        <v>0</v>
      </c>
      <c r="G64" s="13"/>
      <c r="H64" s="22">
        <f>+H19-H21+H62</f>
        <v>-4381.6699999999992</v>
      </c>
      <c r="I64" s="13"/>
      <c r="J64" s="20">
        <f>IF(H$12=0,0,H64/H$12)</f>
        <v>0</v>
      </c>
      <c r="K64" s="15"/>
      <c r="L64" s="22">
        <f>+D64-H64</f>
        <v>2770.7299999999991</v>
      </c>
      <c r="M64" s="15"/>
      <c r="N64" s="20">
        <f>IF(H64=0,0,L64/H64)</f>
        <v>-0.63234565816229882</v>
      </c>
      <c r="O64" s="25"/>
      <c r="P64" s="22">
        <f>+P19-P21+P62</f>
        <v>-6383.79</v>
      </c>
      <c r="Q64" s="13"/>
      <c r="R64" s="20">
        <f>IF(P$12=0,0,P64/P$12)</f>
        <v>0</v>
      </c>
      <c r="S64" s="13"/>
      <c r="T64" s="22">
        <f>+T19-T21+T62</f>
        <v>-24961.510000000002</v>
      </c>
      <c r="U64" s="13"/>
      <c r="V64" s="20">
        <f>IF(T$12=0,0,T64/T$12)</f>
        <v>-10.079471990373394</v>
      </c>
      <c r="W64" s="15"/>
      <c r="X64" s="22">
        <f>+P64-T64</f>
        <v>18577.72</v>
      </c>
      <c r="Y64" s="15"/>
      <c r="Z64" s="20">
        <f>IF(T64=0,0,X64/T64)</f>
        <v>-0.74425465446601591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127</v>
      </c>
      <c r="C66" s="10"/>
      <c r="D66" s="4"/>
      <c r="E66" s="4"/>
      <c r="F66" s="12">
        <f>IF(D$12=0,0,D66/D$12)</f>
        <v>0</v>
      </c>
      <c r="G66" s="4"/>
      <c r="H66" s="4">
        <v>77.680000000000007</v>
      </c>
      <c r="I66" s="4"/>
      <c r="J66" s="12">
        <f>IF(H$12=0,0,H66/H$12)</f>
        <v>0</v>
      </c>
      <c r="K66" s="4"/>
      <c r="L66" s="4">
        <f>+D66-H66</f>
        <v>-77.680000000000007</v>
      </c>
      <c r="M66" s="4"/>
      <c r="N66" s="12">
        <f>IF(H66=0,0,L66/H66)</f>
        <v>-1</v>
      </c>
      <c r="O66" s="10"/>
      <c r="P66" s="4"/>
      <c r="Q66" s="4"/>
      <c r="R66" s="12">
        <f>IF(P$12=0,0,P66/P$12)</f>
        <v>0</v>
      </c>
      <c r="S66" s="4"/>
      <c r="T66" s="4">
        <v>536.46</v>
      </c>
      <c r="U66" s="4"/>
      <c r="V66" s="12">
        <f>IF(T$12=0,0,T66/T$12)</f>
        <v>0.21662285430471598</v>
      </c>
      <c r="W66" s="4"/>
      <c r="X66" s="4">
        <f>+P66-T66</f>
        <v>-536.46</v>
      </c>
      <c r="Y66" s="4"/>
      <c r="Z66" s="12">
        <f>IF(T66=0,0,X66/T66)</f>
        <v>-1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125</v>
      </c>
      <c r="C68" s="26"/>
      <c r="D68" s="33">
        <f>+D64-D66</f>
        <v>-1610.94</v>
      </c>
      <c r="E68" s="13"/>
      <c r="F68" s="31">
        <f>IF(D$12=0,0,D68/D$12)</f>
        <v>0</v>
      </c>
      <c r="G68" s="13"/>
      <c r="H68" s="33">
        <f>+H64-H66</f>
        <v>-4459.3499999999995</v>
      </c>
      <c r="I68" s="13"/>
      <c r="J68" s="31">
        <f>IF(H$12=0,0,H68/H$12)</f>
        <v>0</v>
      </c>
      <c r="K68" s="15"/>
      <c r="L68" s="33">
        <f>D68-H68</f>
        <v>2848.4099999999994</v>
      </c>
      <c r="M68" s="15"/>
      <c r="N68" s="31">
        <f>IF(H68=0,0,L68/H68)</f>
        <v>-0.63875004204648655</v>
      </c>
      <c r="O68" s="25"/>
      <c r="P68" s="33">
        <f>+P64-P66</f>
        <v>-6383.79</v>
      </c>
      <c r="Q68" s="13"/>
      <c r="R68" s="31">
        <f>IF(P$12=0,0,P68/P$12)</f>
        <v>0</v>
      </c>
      <c r="S68" s="13"/>
      <c r="T68" s="33">
        <f>+T64-T66</f>
        <v>-25497.97</v>
      </c>
      <c r="U68" s="13"/>
      <c r="V68" s="31">
        <f>IF(T$12=0,0,T68/T$12)</f>
        <v>-10.296094844678111</v>
      </c>
      <c r="W68" s="15"/>
      <c r="X68" s="33">
        <f>P68-T68</f>
        <v>19114.18</v>
      </c>
      <c r="Y68" s="15"/>
      <c r="Z68" s="31">
        <f>IF(T68=0,0,X68/T68)</f>
        <v>-0.74963536312890788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293</v>
      </c>
      <c r="C71" s="26"/>
      <c r="D71" s="34">
        <f>SUM(D68:D70)</f>
        <v>-1610.94</v>
      </c>
      <c r="E71" s="13"/>
      <c r="F71" s="30">
        <f>IF(D$12=0,0,D71/D$12)</f>
        <v>0</v>
      </c>
      <c r="G71" s="13"/>
      <c r="H71" s="34">
        <f>SUM(H68:H70)</f>
        <v>-4459.3499999999995</v>
      </c>
      <c r="I71" s="13"/>
      <c r="J71" s="30">
        <f>IF(H$12=0,0,H71/H$12)</f>
        <v>0</v>
      </c>
      <c r="K71" s="15"/>
      <c r="L71" s="34">
        <f>+D71-H71</f>
        <v>2848.4099999999994</v>
      </c>
      <c r="M71" s="15"/>
      <c r="N71" s="30">
        <f>IF(H71=0,0,L71/H71)</f>
        <v>-0.63875004204648655</v>
      </c>
      <c r="O71" s="25"/>
      <c r="P71" s="34">
        <f>SUM(P68:P70)</f>
        <v>-6383.79</v>
      </c>
      <c r="Q71" s="13"/>
      <c r="R71" s="30">
        <f>IF(P$12=0,0,P71/P$12)</f>
        <v>0</v>
      </c>
      <c r="S71" s="13"/>
      <c r="T71" s="34">
        <f>SUM(T68:T70)</f>
        <v>-25497.97</v>
      </c>
      <c r="U71" s="13"/>
      <c r="V71" s="30">
        <f>IF(T$12=0,0,T71/T$12)</f>
        <v>-10.296094844678111</v>
      </c>
      <c r="W71" s="15"/>
      <c r="X71" s="34">
        <f>+P71-T71</f>
        <v>19114.18</v>
      </c>
      <c r="Y71" s="15"/>
      <c r="Z71" s="30">
        <f>IF(T71=0,0,X71/T71)</f>
        <v>-0.74963536312890788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61">
        <v>44517.967041516204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7" t="s">
        <v>56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8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-1222.33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1222.33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-1222.33</v>
      </c>
      <c r="U15" s="2"/>
      <c r="V15" s="19">
        <f t="shared" si="5"/>
        <v>0</v>
      </c>
      <c r="W15" s="2"/>
      <c r="X15" s="2">
        <f t="shared" si="6"/>
        <v>1222.33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D12-D14</f>
        <v>0</v>
      </c>
      <c r="E17" s="13"/>
      <c r="F17" s="20">
        <f>IF(D$12=0,0,D17/D$12)</f>
        <v>0</v>
      </c>
      <c r="G17" s="13"/>
      <c r="H17" s="22">
        <f>H12-H14</f>
        <v>0</v>
      </c>
      <c r="I17" s="13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5"/>
      <c r="P17" s="22">
        <f>P12-P14</f>
        <v>0</v>
      </c>
      <c r="Q17" s="13"/>
      <c r="R17" s="20">
        <f>IF(P$12=0,0,P17/P$12)</f>
        <v>0</v>
      </c>
      <c r="S17" s="13"/>
      <c r="T17" s="22">
        <f>T12-T14</f>
        <v>1222.33</v>
      </c>
      <c r="U17" s="13"/>
      <c r="V17" s="20">
        <f>IF(T$12=0,0,T17/T$12)</f>
        <v>0</v>
      </c>
      <c r="W17" s="15"/>
      <c r="X17" s="22">
        <f>+P17-T17</f>
        <v>-1222.33</v>
      </c>
      <c r="Y17" s="15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SUM(OSRRefD22x_0)</f>
        <v>-71.86</v>
      </c>
      <c r="E19" s="21"/>
      <c r="F19" s="36">
        <f t="shared" ref="F19:F25" si="8">IF(D$12=0,0,D19/D$12)</f>
        <v>0</v>
      </c>
      <c r="G19" s="21"/>
      <c r="H19" s="21">
        <f>SUM(OSRRefH22x_0)</f>
        <v>2238.54</v>
      </c>
      <c r="I19" s="21"/>
      <c r="J19" s="36">
        <f t="shared" ref="J19:J25" si="9">IF(H$12=0,0,H19/H$12)</f>
        <v>0</v>
      </c>
      <c r="K19" s="4"/>
      <c r="L19" s="21">
        <f t="shared" ref="L19:L25" si="10">+D19-H19</f>
        <v>-2310.4</v>
      </c>
      <c r="M19" s="4"/>
      <c r="N19" s="36">
        <f t="shared" ref="N19:N25" si="11">IF(H19=0,0,L19/H19)</f>
        <v>-1.0321012802987661</v>
      </c>
      <c r="O19" s="10"/>
      <c r="P19" s="21">
        <f>SUM(OSRRefP22x_0)</f>
        <v>0</v>
      </c>
      <c r="Q19" s="21"/>
      <c r="R19" s="36">
        <f t="shared" ref="R19:R25" si="12">IF(P$12=0,0,P19/P$12)</f>
        <v>0</v>
      </c>
      <c r="S19" s="21"/>
      <c r="T19" s="21">
        <f>SUM(OSRRefT22x_0)</f>
        <v>11267.26</v>
      </c>
      <c r="U19" s="21"/>
      <c r="V19" s="36">
        <f t="shared" ref="V19:V25" si="13">IF(T$12=0,0,T19/T$12)</f>
        <v>0</v>
      </c>
      <c r="W19" s="4"/>
      <c r="X19" s="21">
        <f t="shared" ref="X19:X25" si="14">+P19-T19</f>
        <v>-11267.26</v>
      </c>
      <c r="Y19" s="4"/>
      <c r="Z19" s="36">
        <f t="shared" ref="Z19:Z25" si="15">IF(T19=0,0,X19/T19)</f>
        <v>-1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/>
      <c r="I21" s="2"/>
      <c r="J21" s="7">
        <f t="shared" si="9"/>
        <v>0</v>
      </c>
      <c r="K21" s="2"/>
      <c r="L21" s="6">
        <f t="shared" si="10"/>
        <v>0</v>
      </c>
      <c r="M21" s="2"/>
      <c r="N21" s="7">
        <f t="shared" si="11"/>
        <v>0</v>
      </c>
      <c r="O21" s="11"/>
      <c r="P21" s="6"/>
      <c r="Q21" s="2"/>
      <c r="R21" s="7">
        <f t="shared" si="12"/>
        <v>0</v>
      </c>
      <c r="S21" s="2"/>
      <c r="T21" s="6">
        <v>159.12</v>
      </c>
      <c r="U21" s="2"/>
      <c r="V21" s="7">
        <f t="shared" si="13"/>
        <v>0</v>
      </c>
      <c r="W21" s="2"/>
      <c r="X21" s="6">
        <f t="shared" si="14"/>
        <v>-159.12</v>
      </c>
      <c r="Y21" s="2"/>
      <c r="Z21" s="7">
        <f t="shared" si="15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/>
      <c r="Q22" s="2"/>
      <c r="R22" s="7">
        <f t="shared" si="12"/>
        <v>0</v>
      </c>
      <c r="S22" s="2"/>
      <c r="T22" s="6">
        <v>683.68</v>
      </c>
      <c r="U22" s="2"/>
      <c r="V22" s="7">
        <f t="shared" si="13"/>
        <v>0</v>
      </c>
      <c r="W22" s="2"/>
      <c r="X22" s="6">
        <f t="shared" si="14"/>
        <v>-683.68</v>
      </c>
      <c r="Y22" s="2"/>
      <c r="Z22" s="7">
        <f t="shared" si="15"/>
        <v>-1</v>
      </c>
    </row>
    <row r="23" spans="1:26" s="24" customFormat="1" hidden="1" outlineLevel="2" x14ac:dyDescent="0.25">
      <c r="A23" s="29"/>
      <c r="B23" s="11" t="str">
        <f>CONCATENATE("          ", "6115", " - ", "P.E.R.S.")</f>
        <v xml:space="preserve">          6115 - P.E.R.S.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/>
      <c r="Q23" s="2"/>
      <c r="R23" s="7">
        <f t="shared" si="12"/>
        <v>0</v>
      </c>
      <c r="S23" s="2"/>
      <c r="T23" s="6">
        <v>321.57</v>
      </c>
      <c r="U23" s="2"/>
      <c r="V23" s="7">
        <f t="shared" si="13"/>
        <v>0</v>
      </c>
      <c r="W23" s="2"/>
      <c r="X23" s="6">
        <f t="shared" si="14"/>
        <v>-321.57</v>
      </c>
      <c r="Y23" s="2"/>
      <c r="Z23" s="7">
        <f t="shared" si="15"/>
        <v>-1</v>
      </c>
    </row>
    <row r="24" spans="1:26" s="24" customFormat="1" hidden="1" outlineLevel="2" x14ac:dyDescent="0.25">
      <c r="A24" s="29"/>
      <c r="B24" s="11" t="str">
        <f>CONCATENATE("          ", "6118", " - ", "VACATION")</f>
        <v xml:space="preserve">          6118 - VACATION</v>
      </c>
      <c r="C24" s="11"/>
      <c r="D24" s="6"/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0</v>
      </c>
      <c r="M24" s="2"/>
      <c r="N24" s="7">
        <f t="shared" si="11"/>
        <v>0</v>
      </c>
      <c r="O24" s="11"/>
      <c r="P24" s="6"/>
      <c r="Q24" s="2"/>
      <c r="R24" s="7">
        <f t="shared" si="12"/>
        <v>0</v>
      </c>
      <c r="S24" s="2"/>
      <c r="T24" s="6">
        <v>239.72</v>
      </c>
      <c r="U24" s="2"/>
      <c r="V24" s="7">
        <f t="shared" si="13"/>
        <v>0</v>
      </c>
      <c r="W24" s="2"/>
      <c r="X24" s="6">
        <f t="shared" si="14"/>
        <v>-239.72</v>
      </c>
      <c r="Y24" s="2"/>
      <c r="Z24" s="7">
        <f t="shared" si="15"/>
        <v>-1</v>
      </c>
    </row>
    <row r="25" spans="1:26" s="24" customFormat="1" hidden="1" outlineLevel="2" x14ac:dyDescent="0.25">
      <c r="A25" s="29"/>
      <c r="B25" s="11" t="str">
        <f>CONCATENATE("          ", "6119", " - ", "SICK LEAVE")</f>
        <v xml:space="preserve">          6119 - SICK LEAVE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/>
      <c r="Q25" s="2"/>
      <c r="R25" s="7">
        <f t="shared" si="12"/>
        <v>0</v>
      </c>
      <c r="S25" s="2"/>
      <c r="T25" s="6">
        <v>191.88</v>
      </c>
      <c r="U25" s="2"/>
      <c r="V25" s="7">
        <f t="shared" si="13"/>
        <v>0</v>
      </c>
      <c r="W25" s="2"/>
      <c r="X25" s="6">
        <f t="shared" si="14"/>
        <v>-191.88</v>
      </c>
      <c r="Y25" s="2"/>
      <c r="Z25" s="7">
        <f t="shared" si="15"/>
        <v>-1</v>
      </c>
    </row>
    <row r="26" spans="1:26" s="28" customFormat="1" outlineLevel="1" collapsed="1" x14ac:dyDescent="0.25">
      <c r="A26" s="27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4"/>
      <c r="P26" s="1">
        <f>SUM(OSRRefP22_1x_0)</f>
        <v>0</v>
      </c>
      <c r="Q26" s="1"/>
      <c r="R26" s="5">
        <f t="shared" ref="R26:R34" si="20">IF(P$12=0,0,P26/P$12)</f>
        <v>0</v>
      </c>
      <c r="S26" s="1"/>
      <c r="T26" s="1">
        <f>SUM(OSRRefT22_1x_0)</f>
        <v>2080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-2080</v>
      </c>
      <c r="Y26" s="1"/>
      <c r="Z26" s="5">
        <f t="shared" ref="Z26:Z34" si="23">IF(T26=0,0,X26/T26)</f>
        <v>-1</v>
      </c>
    </row>
    <row r="27" spans="1:26" s="24" customFormat="1" hidden="1" outlineLevel="2" x14ac:dyDescent="0.25">
      <c r="A27" s="29"/>
      <c r="B27" s="11" t="str">
        <f>CONCATENATE("          ", "6002", " - ", "STAFF SALARIES")</f>
        <v xml:space="preserve">          6002 - STAFF SALARIES</v>
      </c>
      <c r="C27" s="11"/>
      <c r="D27" s="6"/>
      <c r="E27" s="2"/>
      <c r="F27" s="7">
        <f t="shared" si="16"/>
        <v>0</v>
      </c>
      <c r="G27" s="2"/>
      <c r="H27" s="6"/>
      <c r="I27" s="2"/>
      <c r="J27" s="7">
        <f t="shared" si="17"/>
        <v>0</v>
      </c>
      <c r="K27" s="2"/>
      <c r="L27" s="6">
        <f t="shared" si="18"/>
        <v>0</v>
      </c>
      <c r="M27" s="2"/>
      <c r="N27" s="7">
        <f t="shared" si="19"/>
        <v>0</v>
      </c>
      <c r="O27" s="11"/>
      <c r="P27" s="6"/>
      <c r="Q27" s="2"/>
      <c r="R27" s="7">
        <f t="shared" si="20"/>
        <v>0</v>
      </c>
      <c r="S27" s="2"/>
      <c r="T27" s="6">
        <v>2080</v>
      </c>
      <c r="U27" s="2"/>
      <c r="V27" s="7">
        <f t="shared" si="21"/>
        <v>0</v>
      </c>
      <c r="W27" s="2"/>
      <c r="X27" s="6">
        <f t="shared" si="22"/>
        <v>-2080</v>
      </c>
      <c r="Y27" s="2"/>
      <c r="Z27" s="7">
        <f t="shared" si="23"/>
        <v>-1</v>
      </c>
    </row>
    <row r="28" spans="1:26" s="28" customFormat="1" outlineLevel="1" collapsed="1" x14ac:dyDescent="0.25">
      <c r="A28" s="27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8069.36</v>
      </c>
      <c r="U28" s="1"/>
      <c r="V28" s="5">
        <f t="shared" si="21"/>
        <v>0</v>
      </c>
      <c r="W28" s="1"/>
      <c r="X28" s="1">
        <f t="shared" si="22"/>
        <v>-8069.36</v>
      </c>
      <c r="Y28" s="1"/>
      <c r="Z28" s="5">
        <f t="shared" si="23"/>
        <v>-1</v>
      </c>
    </row>
    <row r="29" spans="1:26" s="24" customFormat="1" hidden="1" outlineLevel="2" x14ac:dyDescent="0.25">
      <c r="A29" s="29"/>
      <c r="B29" s="11" t="str">
        <f>CONCATENATE("          ", "6322", " - ", "EQUIPMENT DEPRECIATION EXPENSE")</f>
        <v xml:space="preserve">          6322 - EQUIPMENT DEPRECIATION EXPENSE</v>
      </c>
      <c r="C29" s="11"/>
      <c r="D29" s="6"/>
      <c r="E29" s="2"/>
      <c r="F29" s="7">
        <f t="shared" si="16"/>
        <v>0</v>
      </c>
      <c r="G29" s="2"/>
      <c r="H29" s="6">
        <v>2017.34</v>
      </c>
      <c r="I29" s="2"/>
      <c r="J29" s="7">
        <f t="shared" si="17"/>
        <v>0</v>
      </c>
      <c r="K29" s="2"/>
      <c r="L29" s="6">
        <f t="shared" si="18"/>
        <v>-2017.34</v>
      </c>
      <c r="M29" s="2"/>
      <c r="N29" s="7">
        <f t="shared" si="19"/>
        <v>-1</v>
      </c>
      <c r="O29" s="11"/>
      <c r="P29" s="6"/>
      <c r="Q29" s="2"/>
      <c r="R29" s="7">
        <f t="shared" si="20"/>
        <v>0</v>
      </c>
      <c r="S29" s="2"/>
      <c r="T29" s="6">
        <v>8069.36</v>
      </c>
      <c r="U29" s="2"/>
      <c r="V29" s="7">
        <f t="shared" si="21"/>
        <v>0</v>
      </c>
      <c r="W29" s="2"/>
      <c r="X29" s="6">
        <f t="shared" si="22"/>
        <v>-8069.36</v>
      </c>
      <c r="Y29" s="2"/>
      <c r="Z29" s="7">
        <f t="shared" si="23"/>
        <v>-1</v>
      </c>
    </row>
    <row r="30" spans="1:26" s="28" customFormat="1" outlineLevel="1" collapsed="1" x14ac:dyDescent="0.25">
      <c r="A30" s="27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-71.86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-71.86</v>
      </c>
      <c r="M30" s="1"/>
      <c r="N30" s="5">
        <f t="shared" si="19"/>
        <v>0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150.94999999999999</v>
      </c>
      <c r="U30" s="1"/>
      <c r="V30" s="5">
        <f t="shared" si="21"/>
        <v>0</v>
      </c>
      <c r="W30" s="1"/>
      <c r="X30" s="1">
        <f t="shared" si="22"/>
        <v>-150.94999999999999</v>
      </c>
      <c r="Y30" s="1"/>
      <c r="Z30" s="5">
        <f t="shared" si="23"/>
        <v>-1</v>
      </c>
    </row>
    <row r="31" spans="1:26" s="24" customFormat="1" hidden="1" outlineLevel="2" x14ac:dyDescent="0.25">
      <c r="A31" s="29"/>
      <c r="B31" s="11" t="str">
        <f>CONCATENATE("          ", "6373", " - ", "MAINTENANCE CONTRACTS")</f>
        <v xml:space="preserve">          6373 - MAINTENANCE CONTRACTS</v>
      </c>
      <c r="C31" s="11"/>
      <c r="D31" s="6">
        <v>-71.86</v>
      </c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-71.86</v>
      </c>
      <c r="M31" s="2"/>
      <c r="N31" s="7">
        <f t="shared" si="19"/>
        <v>0</v>
      </c>
      <c r="O31" s="11"/>
      <c r="P31" s="6">
        <v>0</v>
      </c>
      <c r="Q31" s="2"/>
      <c r="R31" s="7">
        <f t="shared" si="20"/>
        <v>0</v>
      </c>
      <c r="S31" s="2"/>
      <c r="T31" s="6">
        <v>150.94999999999999</v>
      </c>
      <c r="U31" s="2"/>
      <c r="V31" s="7">
        <f t="shared" si="21"/>
        <v>0</v>
      </c>
      <c r="W31" s="2"/>
      <c r="X31" s="6">
        <f t="shared" si="22"/>
        <v>-150.94999999999999</v>
      </c>
      <c r="Y31" s="2"/>
      <c r="Z31" s="7">
        <f t="shared" si="23"/>
        <v>-1</v>
      </c>
    </row>
    <row r="32" spans="1:26" s="28" customFormat="1" outlineLevel="1" collapsed="1" x14ac:dyDescent="0.25">
      <c r="A32" s="27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-1053.52</v>
      </c>
      <c r="U32" s="1"/>
      <c r="V32" s="5">
        <f t="shared" si="21"/>
        <v>0</v>
      </c>
      <c r="W32" s="1"/>
      <c r="X32" s="1">
        <f t="shared" si="22"/>
        <v>1053.52</v>
      </c>
      <c r="Y32" s="1"/>
      <c r="Z32" s="5">
        <f t="shared" si="23"/>
        <v>-1</v>
      </c>
    </row>
    <row r="33" spans="1:26" s="24" customFormat="1" hidden="1" outlineLevel="2" x14ac:dyDescent="0.25">
      <c r="A33" s="29"/>
      <c r="B33" s="11" t="str">
        <f>CONCATENATE("          ", "6282", " - ", "JANITORIAL/EXTERMINATOR EXPENS")</f>
        <v xml:space="preserve">          6282 - JANITORIAL/EXTERMINATOR EXPENS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-567.28</v>
      </c>
      <c r="U33" s="2"/>
      <c r="V33" s="7">
        <f t="shared" si="21"/>
        <v>0</v>
      </c>
      <c r="W33" s="2"/>
      <c r="X33" s="6">
        <f t="shared" si="22"/>
        <v>567.28</v>
      </c>
      <c r="Y33" s="2"/>
      <c r="Z33" s="7">
        <f t="shared" si="23"/>
        <v>-1</v>
      </c>
    </row>
    <row r="34" spans="1:26" s="24" customFormat="1" hidden="1" outlineLevel="2" x14ac:dyDescent="0.25">
      <c r="A34" s="29"/>
      <c r="B34" s="11" t="str">
        <f>CONCATENATE("          ", "6285", " - ", "JANITORIAL SERVICES")</f>
        <v xml:space="preserve">          6285 - JANITORIAL SERVICES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-486.24</v>
      </c>
      <c r="U34" s="2"/>
      <c r="V34" s="7">
        <f t="shared" si="21"/>
        <v>0</v>
      </c>
      <c r="W34" s="2"/>
      <c r="X34" s="6">
        <f t="shared" si="22"/>
        <v>486.24</v>
      </c>
      <c r="Y34" s="2"/>
      <c r="Z34" s="7">
        <f t="shared" si="23"/>
        <v>-1</v>
      </c>
    </row>
    <row r="35" spans="1:26" s="28" customFormat="1" outlineLevel="1" collapsed="1" x14ac:dyDescent="0.25">
      <c r="A35" s="27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SUM(OSRRefD22_5x_0)</f>
        <v>0</v>
      </c>
      <c r="E35" s="1"/>
      <c r="F35" s="5">
        <f t="shared" ref="F35:F40" si="24">IF(D$12=0,0,D35/D$12)</f>
        <v>0</v>
      </c>
      <c r="G35" s="1"/>
      <c r="H35" s="1">
        <f>SUM(OSRRefH22_5x_0)</f>
        <v>0</v>
      </c>
      <c r="I35" s="1"/>
      <c r="J35" s="5">
        <f t="shared" ref="J35:J40" si="25">IF(H$12=0,0,H35/H$12)</f>
        <v>0</v>
      </c>
      <c r="K35" s="1"/>
      <c r="L35" s="1">
        <f t="shared" ref="L35:L40" si="26">+D35-H35</f>
        <v>0</v>
      </c>
      <c r="M35" s="1"/>
      <c r="N35" s="5">
        <f t="shared" ref="N35:N40" si="27">IF(H35=0,0,L35/H35)</f>
        <v>0</v>
      </c>
      <c r="O35" s="14"/>
      <c r="P35" s="1">
        <f>SUM(OSRRefP22_5x_0)</f>
        <v>0</v>
      </c>
      <c r="Q35" s="1"/>
      <c r="R35" s="5">
        <f t="shared" ref="R35:R40" si="28">IF(P$12=0,0,P35/P$12)</f>
        <v>0</v>
      </c>
      <c r="S35" s="1"/>
      <c r="T35" s="1">
        <f>SUM(OSRRefT22_5x_0)</f>
        <v>131.30000000000001</v>
      </c>
      <c r="U35" s="1"/>
      <c r="V35" s="5">
        <f t="shared" ref="V35:V40" si="29">IF(T$12=0,0,T35/T$12)</f>
        <v>0</v>
      </c>
      <c r="W35" s="1"/>
      <c r="X35" s="1">
        <f t="shared" ref="X35:X40" si="30">+P35-T35</f>
        <v>-131.30000000000001</v>
      </c>
      <c r="Y35" s="1"/>
      <c r="Z35" s="5">
        <f t="shared" ref="Z35:Z40" si="31">IF(T35=0,0,X35/T35)</f>
        <v>-1</v>
      </c>
    </row>
    <row r="36" spans="1:26" s="24" customFormat="1" hidden="1" outlineLevel="2" x14ac:dyDescent="0.25">
      <c r="A36" s="29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24"/>
        <v>0</v>
      </c>
      <c r="G36" s="2"/>
      <c r="H36" s="6"/>
      <c r="I36" s="2"/>
      <c r="J36" s="7">
        <f t="shared" si="25"/>
        <v>0</v>
      </c>
      <c r="K36" s="2"/>
      <c r="L36" s="6">
        <f t="shared" si="26"/>
        <v>0</v>
      </c>
      <c r="M36" s="2"/>
      <c r="N36" s="7">
        <f t="shared" si="27"/>
        <v>0</v>
      </c>
      <c r="O36" s="11"/>
      <c r="P36" s="6"/>
      <c r="Q36" s="2"/>
      <c r="R36" s="7">
        <f t="shared" si="28"/>
        <v>0</v>
      </c>
      <c r="S36" s="2"/>
      <c r="T36" s="6">
        <v>131.30000000000001</v>
      </c>
      <c r="U36" s="2"/>
      <c r="V36" s="7">
        <f t="shared" si="29"/>
        <v>0</v>
      </c>
      <c r="W36" s="2"/>
      <c r="X36" s="6">
        <f t="shared" si="30"/>
        <v>-131.30000000000001</v>
      </c>
      <c r="Y36" s="2"/>
      <c r="Z36" s="7">
        <f t="shared" si="31"/>
        <v>-1</v>
      </c>
    </row>
    <row r="37" spans="1:26" s="28" customFormat="1" outlineLevel="1" collapsed="1" x14ac:dyDescent="0.25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SUM(OSRRefD22_6x_0)</f>
        <v>0</v>
      </c>
      <c r="E37" s="1"/>
      <c r="F37" s="5">
        <f t="shared" si="24"/>
        <v>0</v>
      </c>
      <c r="G37" s="1"/>
      <c r="H37" s="1">
        <f>SUM(OSRRefH22_6x_0)</f>
        <v>13.2</v>
      </c>
      <c r="I37" s="1"/>
      <c r="J37" s="5">
        <f t="shared" si="25"/>
        <v>0</v>
      </c>
      <c r="K37" s="1"/>
      <c r="L37" s="1">
        <f t="shared" si="26"/>
        <v>-13.2</v>
      </c>
      <c r="M37" s="1"/>
      <c r="N37" s="5">
        <f t="shared" si="27"/>
        <v>-1</v>
      </c>
      <c r="O37" s="14"/>
      <c r="P37" s="1">
        <f>SUM(OSRRefP22_6x_0)</f>
        <v>0</v>
      </c>
      <c r="Q37" s="1"/>
      <c r="R37" s="5">
        <f t="shared" si="28"/>
        <v>0</v>
      </c>
      <c r="S37" s="1"/>
      <c r="T37" s="1">
        <f>SUM(OSRRefT22_6x_0)</f>
        <v>85.2</v>
      </c>
      <c r="U37" s="1"/>
      <c r="V37" s="5">
        <f t="shared" si="29"/>
        <v>0</v>
      </c>
      <c r="W37" s="1"/>
      <c r="X37" s="1">
        <f t="shared" si="30"/>
        <v>-85.2</v>
      </c>
      <c r="Y37" s="1"/>
      <c r="Z37" s="5">
        <f t="shared" si="31"/>
        <v>-1</v>
      </c>
    </row>
    <row r="38" spans="1:26" s="24" customFormat="1" hidden="1" outlineLevel="2" x14ac:dyDescent="0.25">
      <c r="A38" s="29"/>
      <c r="B38" s="11" t="str">
        <f>CONCATENATE("          ", "6309", " - ", "TELEPHONE")</f>
        <v xml:space="preserve">          6309 - TELEPHONE</v>
      </c>
      <c r="C38" s="11"/>
      <c r="D38" s="6"/>
      <c r="E38" s="2"/>
      <c r="F38" s="7">
        <f t="shared" si="24"/>
        <v>0</v>
      </c>
      <c r="G38" s="2"/>
      <c r="H38" s="6">
        <v>13.2</v>
      </c>
      <c r="I38" s="2"/>
      <c r="J38" s="7">
        <f t="shared" si="25"/>
        <v>0</v>
      </c>
      <c r="K38" s="2"/>
      <c r="L38" s="6">
        <f t="shared" si="26"/>
        <v>-13.2</v>
      </c>
      <c r="M38" s="2"/>
      <c r="N38" s="7">
        <f t="shared" si="27"/>
        <v>-1</v>
      </c>
      <c r="O38" s="11"/>
      <c r="P38" s="6"/>
      <c r="Q38" s="2"/>
      <c r="R38" s="7">
        <f t="shared" si="28"/>
        <v>0</v>
      </c>
      <c r="S38" s="2"/>
      <c r="T38" s="6">
        <v>85.2</v>
      </c>
      <c r="U38" s="2"/>
      <c r="V38" s="7">
        <f t="shared" si="29"/>
        <v>0</v>
      </c>
      <c r="W38" s="2"/>
      <c r="X38" s="6">
        <f t="shared" si="30"/>
        <v>-85.2</v>
      </c>
      <c r="Y38" s="2"/>
      <c r="Z38" s="7">
        <f t="shared" si="31"/>
        <v>-1</v>
      </c>
    </row>
    <row r="39" spans="1:26" s="28" customFormat="1" outlineLevel="1" collapsed="1" x14ac:dyDescent="0.25">
      <c r="A39" s="27"/>
      <c r="B39" s="14" t="str">
        <f>CONCATENATE("     ","Utilities                                         ")</f>
        <v xml:space="preserve">     Utilities                                         </v>
      </c>
      <c r="C39" s="14"/>
      <c r="D39" s="1">
        <f>SUM(OSRRefD22_7x_0)</f>
        <v>0</v>
      </c>
      <c r="E39" s="1"/>
      <c r="F39" s="5">
        <f t="shared" si="24"/>
        <v>0</v>
      </c>
      <c r="G39" s="1"/>
      <c r="H39" s="1">
        <f>SUM(OSRRefH22_7x_0)</f>
        <v>208</v>
      </c>
      <c r="I39" s="1"/>
      <c r="J39" s="5">
        <f t="shared" si="25"/>
        <v>0</v>
      </c>
      <c r="K39" s="1"/>
      <c r="L39" s="1">
        <f t="shared" si="26"/>
        <v>-208</v>
      </c>
      <c r="M39" s="1"/>
      <c r="N39" s="5">
        <f t="shared" si="27"/>
        <v>-1</v>
      </c>
      <c r="O39" s="14"/>
      <c r="P39" s="1">
        <f>SUM(OSRRefP22_7x_0)</f>
        <v>0</v>
      </c>
      <c r="Q39" s="1"/>
      <c r="R39" s="5">
        <f t="shared" si="28"/>
        <v>0</v>
      </c>
      <c r="S39" s="1"/>
      <c r="T39" s="1">
        <f>SUM(OSRRefT22_7x_0)</f>
        <v>208</v>
      </c>
      <c r="U39" s="1"/>
      <c r="V39" s="5">
        <f t="shared" si="29"/>
        <v>0</v>
      </c>
      <c r="W39" s="1"/>
      <c r="X39" s="1">
        <f t="shared" si="30"/>
        <v>-208</v>
      </c>
      <c r="Y39" s="1"/>
      <c r="Z39" s="5">
        <f t="shared" si="31"/>
        <v>-1</v>
      </c>
    </row>
    <row r="40" spans="1:26" s="24" customFormat="1" hidden="1" outlineLevel="2" x14ac:dyDescent="0.25">
      <c r="A40" s="29"/>
      <c r="B40" s="11" t="str">
        <f>CONCATENATE("          ", "6274", " - ", "UTILITIES")</f>
        <v xml:space="preserve">          6274 - UTILITIES</v>
      </c>
      <c r="C40" s="11"/>
      <c r="D40" s="6"/>
      <c r="E40" s="2"/>
      <c r="F40" s="7">
        <f t="shared" si="24"/>
        <v>0</v>
      </c>
      <c r="G40" s="2"/>
      <c r="H40" s="6">
        <v>208</v>
      </c>
      <c r="I40" s="2"/>
      <c r="J40" s="7">
        <f t="shared" si="25"/>
        <v>0</v>
      </c>
      <c r="K40" s="2"/>
      <c r="L40" s="6">
        <f t="shared" si="26"/>
        <v>-208</v>
      </c>
      <c r="M40" s="2"/>
      <c r="N40" s="7">
        <f t="shared" si="27"/>
        <v>-1</v>
      </c>
      <c r="O40" s="11"/>
      <c r="P40" s="6"/>
      <c r="Q40" s="2"/>
      <c r="R40" s="7">
        <f t="shared" si="28"/>
        <v>0</v>
      </c>
      <c r="S40" s="2"/>
      <c r="T40" s="6">
        <v>208</v>
      </c>
      <c r="U40" s="2"/>
      <c r="V40" s="7">
        <f t="shared" si="29"/>
        <v>0</v>
      </c>
      <c r="W40" s="2"/>
      <c r="X40" s="6">
        <f t="shared" si="30"/>
        <v>-208</v>
      </c>
      <c r="Y40" s="2"/>
      <c r="Z40" s="7">
        <f t="shared" si="31"/>
        <v>-1</v>
      </c>
    </row>
    <row r="41" spans="1:26" s="56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6" t="s">
        <v>276</v>
      </c>
      <c r="C44" s="26"/>
      <c r="D44" s="22">
        <f>+D17-D19+D42</f>
        <v>71.86</v>
      </c>
      <c r="E44" s="13"/>
      <c r="F44" s="20">
        <f>IF(D$12=0,0,D44/D$12)</f>
        <v>0</v>
      </c>
      <c r="G44" s="13"/>
      <c r="H44" s="22">
        <f>+H17-H19+H42</f>
        <v>-2238.54</v>
      </c>
      <c r="I44" s="13"/>
      <c r="J44" s="20">
        <f>IF(H$12=0,0,H44/H$12)</f>
        <v>0</v>
      </c>
      <c r="K44" s="15"/>
      <c r="L44" s="22">
        <f>+D44-H44</f>
        <v>2310.4</v>
      </c>
      <c r="M44" s="15"/>
      <c r="N44" s="20">
        <f>IF(H44=0,0,L44/H44)</f>
        <v>-1.0321012802987661</v>
      </c>
      <c r="O44" s="25"/>
      <c r="P44" s="22">
        <f>+P17-P19+P42</f>
        <v>0</v>
      </c>
      <c r="Q44" s="13"/>
      <c r="R44" s="20">
        <f>IF(P$12=0,0,P44/P$12)</f>
        <v>0</v>
      </c>
      <c r="S44" s="13"/>
      <c r="T44" s="22">
        <f>+T17-T19+T42</f>
        <v>-10044.93</v>
      </c>
      <c r="U44" s="13"/>
      <c r="V44" s="20">
        <f>IF(T$12=0,0,T44/T$12)</f>
        <v>0</v>
      </c>
      <c r="W44" s="15"/>
      <c r="X44" s="22">
        <f>+P44-T44</f>
        <v>10044.93</v>
      </c>
      <c r="Y44" s="15"/>
      <c r="Z44" s="20">
        <f>IF(T44=0,0,X44/T44)</f>
        <v>-1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6" t="s">
        <v>125</v>
      </c>
      <c r="C48" s="26"/>
      <c r="D48" s="33">
        <f>+D44-D46</f>
        <v>71.86</v>
      </c>
      <c r="E48" s="13"/>
      <c r="F48" s="31">
        <f>IF(D$12=0,0,D48/D$12)</f>
        <v>0</v>
      </c>
      <c r="G48" s="13"/>
      <c r="H48" s="33">
        <f>+H44-H46</f>
        <v>-2238.54</v>
      </c>
      <c r="I48" s="13"/>
      <c r="J48" s="31">
        <f>IF(H$12=0,0,H48/H$12)</f>
        <v>0</v>
      </c>
      <c r="K48" s="15"/>
      <c r="L48" s="33">
        <f>D48-H48</f>
        <v>2310.4</v>
      </c>
      <c r="M48" s="15"/>
      <c r="N48" s="31">
        <f>IF(H48=0,0,L48/H48)</f>
        <v>-1.0321012802987661</v>
      </c>
      <c r="O48" s="25"/>
      <c r="P48" s="33">
        <f>+P44-P46</f>
        <v>0</v>
      </c>
      <c r="Q48" s="13"/>
      <c r="R48" s="31">
        <f>IF(P$12=0,0,P48/P$12)</f>
        <v>0</v>
      </c>
      <c r="S48" s="13"/>
      <c r="T48" s="33">
        <f>+T44-T46</f>
        <v>-10044.93</v>
      </c>
      <c r="U48" s="13"/>
      <c r="V48" s="31">
        <f>IF(T$12=0,0,T48/T$12)</f>
        <v>0</v>
      </c>
      <c r="W48" s="15"/>
      <c r="X48" s="33">
        <f>P48-T48</f>
        <v>10044.93</v>
      </c>
      <c r="Y48" s="15"/>
      <c r="Z48" s="31">
        <f>IF(T48=0,0,X48/T48)</f>
        <v>-1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6" t="s">
        <v>293</v>
      </c>
      <c r="C51" s="26"/>
      <c r="D51" s="34">
        <f>SUM(D48:D50)</f>
        <v>71.86</v>
      </c>
      <c r="E51" s="13"/>
      <c r="F51" s="30">
        <f>IF(D$12=0,0,D51/D$12)</f>
        <v>0</v>
      </c>
      <c r="G51" s="13"/>
      <c r="H51" s="34">
        <f>SUM(H48:H50)</f>
        <v>-2238.54</v>
      </c>
      <c r="I51" s="13"/>
      <c r="J51" s="30">
        <f>IF(H$12=0,0,H51/H$12)</f>
        <v>0</v>
      </c>
      <c r="K51" s="15"/>
      <c r="L51" s="34">
        <f>+D51-H51</f>
        <v>2310.4</v>
      </c>
      <c r="M51" s="15"/>
      <c r="N51" s="30">
        <f>IF(H51=0,0,L51/H51)</f>
        <v>-1.0321012802987661</v>
      </c>
      <c r="O51" s="25"/>
      <c r="P51" s="34">
        <f>SUM(P48:P50)</f>
        <v>0</v>
      </c>
      <c r="Q51" s="13"/>
      <c r="R51" s="30">
        <f>IF(P$12=0,0,P51/P$12)</f>
        <v>0</v>
      </c>
      <c r="S51" s="13"/>
      <c r="T51" s="34">
        <f>SUM(T48:T50)</f>
        <v>-10044.93</v>
      </c>
      <c r="U51" s="13"/>
      <c r="V51" s="30">
        <f>IF(T$12=0,0,T51/T$12)</f>
        <v>0</v>
      </c>
      <c r="W51" s="15"/>
      <c r="X51" s="34">
        <f>+P51-T51</f>
        <v>10044.93</v>
      </c>
      <c r="Y51" s="15"/>
      <c r="Z51" s="30">
        <f>IF(T51=0,0,X51/T51)</f>
        <v>-1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61">
        <v>44517.967041516204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7" t="s">
        <v>56</v>
      </c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8"/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25425.519999999997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25425.519999999997</v>
      </c>
      <c r="M12" s="4"/>
      <c r="N12" s="12">
        <f t="shared" ref="N12:N14" si="1">IF(H12=0,0,L12/H12)</f>
        <v>0</v>
      </c>
      <c r="O12" s="10"/>
      <c r="P12" s="4">
        <f>SUM(OSRRefP13x_0)</f>
        <v>48064.47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48064.47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--4222.65</f>
        <v>4222.6499999999996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4222.6499999999996</v>
      </c>
      <c r="M13" s="2"/>
      <c r="N13" s="19">
        <f t="shared" si="1"/>
        <v>0</v>
      </c>
      <c r="O13" s="11"/>
      <c r="P13" s="2">
        <f>--8316.5</f>
        <v>8316.5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8316.5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--21202.87</f>
        <v>21202.87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21202.87</v>
      </c>
      <c r="M14" s="2"/>
      <c r="N14" s="19">
        <f t="shared" si="1"/>
        <v>0</v>
      </c>
      <c r="O14" s="11"/>
      <c r="P14" s="2">
        <f>--39747.97</f>
        <v>39747.97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39747.97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256</v>
      </c>
      <c r="C16" s="10"/>
      <c r="D16" s="4">
        <f>SUM(OSRRefD16x_0)</f>
        <v>12458.560000000001</v>
      </c>
      <c r="E16" s="4"/>
      <c r="F16" s="12">
        <f t="shared" ref="F16:F18" si="6">IF(D$12=0,0,D16/D$12)</f>
        <v>0.49000217104704263</v>
      </c>
      <c r="G16" s="4"/>
      <c r="H16" s="4">
        <f>SUM(OSRRefH16x_0)</f>
        <v>11536.83</v>
      </c>
      <c r="I16" s="4"/>
      <c r="J16" s="12">
        <f t="shared" ref="J16:J18" si="7">IF(H$12=0,0,H16/H$12)</f>
        <v>0</v>
      </c>
      <c r="K16" s="4"/>
      <c r="L16" s="4">
        <f t="shared" ref="L16:L18" si="8">+D16-H16</f>
        <v>921.73000000000138</v>
      </c>
      <c r="M16" s="4"/>
      <c r="N16" s="12">
        <f t="shared" ref="N16:N18" si="9">IF(H16=0,0,L16/H16)</f>
        <v>7.9894563757982165E-2</v>
      </c>
      <c r="O16" s="10"/>
      <c r="P16" s="4">
        <f>SUM(OSRRefP16x_0)</f>
        <v>23550.639999999999</v>
      </c>
      <c r="Q16" s="4"/>
      <c r="R16" s="12">
        <f t="shared" ref="R16:R18" si="10">IF(P$12=0,0,P16/P$12)</f>
        <v>0.48998022863874291</v>
      </c>
      <c r="S16" s="4"/>
      <c r="T16" s="4">
        <f>SUM(OSRRefT16x_0)</f>
        <v>10847.87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12702.769999999999</v>
      </c>
      <c r="Y16" s="4"/>
      <c r="Z16" s="12">
        <f t="shared" ref="Z16:Z18" si="13">IF(T16=0,0,X16/T16)</f>
        <v>1.1709920933786999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12727.12</v>
      </c>
      <c r="E17" s="2"/>
      <c r="F17" s="19">
        <f t="shared" si="6"/>
        <v>0.50056478687554873</v>
      </c>
      <c r="G17" s="2"/>
      <c r="H17" s="2">
        <v>-92.17</v>
      </c>
      <c r="I17" s="2"/>
      <c r="J17" s="19">
        <f t="shared" si="7"/>
        <v>0</v>
      </c>
      <c r="K17" s="2"/>
      <c r="L17" s="2">
        <f t="shared" si="8"/>
        <v>12819.29</v>
      </c>
      <c r="M17" s="2"/>
      <c r="N17" s="19">
        <f t="shared" si="9"/>
        <v>-139.08310730172508</v>
      </c>
      <c r="O17" s="11"/>
      <c r="P17" s="2">
        <v>36038</v>
      </c>
      <c r="Q17" s="2"/>
      <c r="R17" s="19">
        <f t="shared" si="10"/>
        <v>0.74978461220939285</v>
      </c>
      <c r="S17" s="2"/>
      <c r="T17" s="2">
        <v>-781.13</v>
      </c>
      <c r="U17" s="2"/>
      <c r="V17" s="19">
        <f t="shared" si="11"/>
        <v>0</v>
      </c>
      <c r="W17" s="2"/>
      <c r="X17" s="2">
        <f t="shared" si="12"/>
        <v>36819.129999999997</v>
      </c>
      <c r="Y17" s="2"/>
      <c r="Z17" s="19">
        <f t="shared" si="13"/>
        <v>-47.135726447582343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-268.56</v>
      </c>
      <c r="E18" s="2"/>
      <c r="F18" s="19">
        <f t="shared" si="6"/>
        <v>-1.0562615828506164E-2</v>
      </c>
      <c r="G18" s="2"/>
      <c r="H18" s="2">
        <v>11629</v>
      </c>
      <c r="I18" s="2"/>
      <c r="J18" s="19">
        <f t="shared" si="7"/>
        <v>0</v>
      </c>
      <c r="K18" s="2"/>
      <c r="L18" s="2">
        <f t="shared" si="8"/>
        <v>-11897.56</v>
      </c>
      <c r="M18" s="2"/>
      <c r="N18" s="19">
        <f t="shared" si="9"/>
        <v>-1.0230939891650184</v>
      </c>
      <c r="O18" s="11"/>
      <c r="P18" s="2">
        <v>-12487.36</v>
      </c>
      <c r="Q18" s="2"/>
      <c r="R18" s="19">
        <f t="shared" si="10"/>
        <v>-0.25980438357065</v>
      </c>
      <c r="S18" s="2"/>
      <c r="T18" s="2">
        <v>11629</v>
      </c>
      <c r="U18" s="2"/>
      <c r="V18" s="19">
        <f t="shared" si="11"/>
        <v>0</v>
      </c>
      <c r="W18" s="2"/>
      <c r="X18" s="2">
        <f t="shared" si="12"/>
        <v>-24116.36</v>
      </c>
      <c r="Y18" s="2"/>
      <c r="Z18" s="19">
        <f t="shared" si="13"/>
        <v>-2.0738120216699629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107</v>
      </c>
      <c r="C20" s="26"/>
      <c r="D20" s="22">
        <f>D12-D16</f>
        <v>12966.959999999995</v>
      </c>
      <c r="E20" s="13"/>
      <c r="F20" s="20">
        <f>IF(D$12=0,0,D20/D$12)</f>
        <v>0.50999782895295742</v>
      </c>
      <c r="G20" s="13"/>
      <c r="H20" s="22">
        <f>H12-H16</f>
        <v>-11536.83</v>
      </c>
      <c r="I20" s="13"/>
      <c r="J20" s="20">
        <f>IF(H$12=0,0,H20/H$12)</f>
        <v>0</v>
      </c>
      <c r="K20" s="15"/>
      <c r="L20" s="22">
        <f>+D20-H20</f>
        <v>24503.789999999994</v>
      </c>
      <c r="M20" s="15"/>
      <c r="N20" s="20">
        <f>IF(H20=0,0,L20/H20)</f>
        <v>-2.1239621282449335</v>
      </c>
      <c r="O20" s="25"/>
      <c r="P20" s="22">
        <f>P12-P16</f>
        <v>24513.83</v>
      </c>
      <c r="Q20" s="13"/>
      <c r="R20" s="20">
        <f>IF(P$12=0,0,P20/P$12)</f>
        <v>0.51001977136125709</v>
      </c>
      <c r="S20" s="13"/>
      <c r="T20" s="22">
        <f>T12-T16</f>
        <v>-10847.87</v>
      </c>
      <c r="U20" s="13"/>
      <c r="V20" s="20">
        <f>IF(T$12=0,0,T20/T$12)</f>
        <v>0</v>
      </c>
      <c r="W20" s="15"/>
      <c r="X20" s="22">
        <f>+P20-T20</f>
        <v>35361.700000000004</v>
      </c>
      <c r="Y20" s="15"/>
      <c r="Z20" s="20">
        <f>IF(T20=0,0,X20/T20)</f>
        <v>-3.2597827960696435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294</v>
      </c>
      <c r="C22" s="10"/>
      <c r="D22" s="21">
        <f>SUM(OSRRefD22x_0)</f>
        <v>17988.280000000002</v>
      </c>
      <c r="E22" s="21"/>
      <c r="F22" s="36">
        <f t="shared" ref="F22:F31" si="14">IF(D$12=0,0,D22/D$12)</f>
        <v>0.70748916836312514</v>
      </c>
      <c r="G22" s="21"/>
      <c r="H22" s="21">
        <f>SUM(OSRRefH22x_0)</f>
        <v>11361.830000000002</v>
      </c>
      <c r="I22" s="21"/>
      <c r="J22" s="36">
        <f t="shared" ref="J22:J31" si="15">IF(H$12=0,0,H22/H$12)</f>
        <v>0</v>
      </c>
      <c r="K22" s="4"/>
      <c r="L22" s="21">
        <f t="shared" ref="L22:L31" si="16">+D22-H22</f>
        <v>6626.4500000000007</v>
      </c>
      <c r="M22" s="4"/>
      <c r="N22" s="36">
        <f t="shared" ref="N22:N31" si="17">IF(H22=0,0,L22/H22)</f>
        <v>0.58322030870027097</v>
      </c>
      <c r="O22" s="10"/>
      <c r="P22" s="21">
        <f>SUM(OSRRefP22x_0)</f>
        <v>68974.479999999981</v>
      </c>
      <c r="Q22" s="21"/>
      <c r="R22" s="36">
        <f t="shared" ref="R22:R31" si="18">IF(P$12=0,0,P22/P$12)</f>
        <v>1.4350408940325354</v>
      </c>
      <c r="S22" s="21"/>
      <c r="T22" s="21">
        <f>SUM(OSRRefT22x_0)</f>
        <v>46437.850000000006</v>
      </c>
      <c r="U22" s="21"/>
      <c r="V22" s="36">
        <f t="shared" ref="V22:V31" si="19">IF(T$12=0,0,T22/T$12)</f>
        <v>0</v>
      </c>
      <c r="W22" s="4"/>
      <c r="X22" s="21">
        <f t="shared" ref="X22:X31" si="20">+P22-T22</f>
        <v>22536.629999999976</v>
      </c>
      <c r="Y22" s="4"/>
      <c r="Z22" s="36">
        <f t="shared" ref="Z22:Z31" si="21">IF(T22=0,0,X22/T22)</f>
        <v>0.48530735165387656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540.71</v>
      </c>
      <c r="E23" s="1"/>
      <c r="F23" s="5">
        <f t="shared" si="14"/>
        <v>2.1266428375899493E-2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540.71</v>
      </c>
      <c r="M23" s="1"/>
      <c r="N23" s="5">
        <f t="shared" si="17"/>
        <v>0</v>
      </c>
      <c r="O23" s="14"/>
      <c r="P23" s="1">
        <f>SUM(OSRRefP22_0x_0)</f>
        <v>999.91</v>
      </c>
      <c r="Q23" s="1"/>
      <c r="R23" s="5">
        <f t="shared" si="18"/>
        <v>2.080351661008641E-2</v>
      </c>
      <c r="S23" s="1"/>
      <c r="T23" s="1">
        <f>SUM(OSRRefT22_0x_0)</f>
        <v>2889.72</v>
      </c>
      <c r="U23" s="1"/>
      <c r="V23" s="5">
        <f t="shared" si="19"/>
        <v>0</v>
      </c>
      <c r="W23" s="1"/>
      <c r="X23" s="1">
        <f t="shared" si="20"/>
        <v>-1889.81</v>
      </c>
      <c r="Y23" s="1"/>
      <c r="Z23" s="5">
        <f t="shared" si="21"/>
        <v>-0.65397685588915189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6">
        <v>359.05</v>
      </c>
      <c r="E24" s="2"/>
      <c r="F24" s="7">
        <f t="shared" si="14"/>
        <v>1.4121638416834741E-2</v>
      </c>
      <c r="G24" s="2"/>
      <c r="H24" s="6"/>
      <c r="I24" s="2"/>
      <c r="J24" s="7">
        <f t="shared" si="15"/>
        <v>0</v>
      </c>
      <c r="K24" s="2"/>
      <c r="L24" s="6">
        <f t="shared" si="16"/>
        <v>359.05</v>
      </c>
      <c r="M24" s="2"/>
      <c r="N24" s="7">
        <f t="shared" si="17"/>
        <v>0</v>
      </c>
      <c r="O24" s="11"/>
      <c r="P24" s="6">
        <v>683.81</v>
      </c>
      <c r="Q24" s="2"/>
      <c r="R24" s="7">
        <f t="shared" si="18"/>
        <v>1.4226933117123728E-2</v>
      </c>
      <c r="S24" s="2"/>
      <c r="T24" s="6">
        <v>159.12</v>
      </c>
      <c r="U24" s="2"/>
      <c r="V24" s="7">
        <f t="shared" si="19"/>
        <v>0</v>
      </c>
      <c r="W24" s="2"/>
      <c r="X24" s="6">
        <f t="shared" si="20"/>
        <v>524.68999999999994</v>
      </c>
      <c r="Y24" s="2"/>
      <c r="Z24" s="7">
        <f t="shared" si="21"/>
        <v>3.297448466566113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6">
        <v>120.49</v>
      </c>
      <c r="E25" s="2"/>
      <c r="F25" s="7">
        <f t="shared" si="14"/>
        <v>4.7389394592519648E-3</v>
      </c>
      <c r="G25" s="2"/>
      <c r="H25" s="6"/>
      <c r="I25" s="2"/>
      <c r="J25" s="7">
        <f t="shared" si="15"/>
        <v>0</v>
      </c>
      <c r="K25" s="2"/>
      <c r="L25" s="6">
        <f t="shared" si="16"/>
        <v>120.49</v>
      </c>
      <c r="M25" s="2"/>
      <c r="N25" s="7">
        <f t="shared" si="17"/>
        <v>0</v>
      </c>
      <c r="O25" s="11"/>
      <c r="P25" s="6">
        <v>236.25</v>
      </c>
      <c r="Q25" s="2"/>
      <c r="R25" s="7">
        <f t="shared" si="18"/>
        <v>4.9152731737185495E-3</v>
      </c>
      <c r="S25" s="2"/>
      <c r="T25" s="6"/>
      <c r="U25" s="2"/>
      <c r="V25" s="7">
        <f t="shared" si="19"/>
        <v>0</v>
      </c>
      <c r="W25" s="2"/>
      <c r="X25" s="6">
        <f t="shared" si="20"/>
        <v>236.25</v>
      </c>
      <c r="Y25" s="2"/>
      <c r="Z25" s="7">
        <f t="shared" si="21"/>
        <v>0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1915.63</v>
      </c>
      <c r="U26" s="2"/>
      <c r="V26" s="7">
        <f t="shared" si="19"/>
        <v>0</v>
      </c>
      <c r="W26" s="2"/>
      <c r="X26" s="6">
        <f t="shared" si="20"/>
        <v>-1915.63</v>
      </c>
      <c r="Y26" s="2"/>
      <c r="Z26" s="7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21.17</v>
      </c>
      <c r="E27" s="2"/>
      <c r="F27" s="7">
        <f t="shared" si="14"/>
        <v>8.3262800524827043E-4</v>
      </c>
      <c r="G27" s="2"/>
      <c r="H27" s="6"/>
      <c r="I27" s="2"/>
      <c r="J27" s="7">
        <f t="shared" si="15"/>
        <v>0</v>
      </c>
      <c r="K27" s="2"/>
      <c r="L27" s="6">
        <f t="shared" si="16"/>
        <v>21.17</v>
      </c>
      <c r="M27" s="2"/>
      <c r="N27" s="7">
        <f t="shared" si="17"/>
        <v>0</v>
      </c>
      <c r="O27" s="11"/>
      <c r="P27" s="6">
        <v>39.85</v>
      </c>
      <c r="Q27" s="2"/>
      <c r="R27" s="7">
        <f t="shared" si="18"/>
        <v>8.290947554399331E-4</v>
      </c>
      <c r="S27" s="2"/>
      <c r="T27" s="6"/>
      <c r="U27" s="2"/>
      <c r="V27" s="7">
        <f t="shared" si="19"/>
        <v>0</v>
      </c>
      <c r="W27" s="2"/>
      <c r="X27" s="6">
        <f t="shared" si="20"/>
        <v>39.85</v>
      </c>
      <c r="Y27" s="2"/>
      <c r="Z27" s="7">
        <f t="shared" si="21"/>
        <v>0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458.89</v>
      </c>
      <c r="U28" s="2"/>
      <c r="V28" s="7">
        <f t="shared" si="19"/>
        <v>0</v>
      </c>
      <c r="W28" s="2"/>
      <c r="X28" s="6">
        <f t="shared" si="20"/>
        <v>-458.89</v>
      </c>
      <c r="Y28" s="2"/>
      <c r="Z28" s="7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152.1</v>
      </c>
      <c r="U29" s="2"/>
      <c r="V29" s="7">
        <f t="shared" si="19"/>
        <v>0</v>
      </c>
      <c r="W29" s="2"/>
      <c r="X29" s="6">
        <f t="shared" si="20"/>
        <v>-152.1</v>
      </c>
      <c r="Y29" s="2"/>
      <c r="Z29" s="7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203.98</v>
      </c>
      <c r="U30" s="2"/>
      <c r="V30" s="7">
        <f t="shared" si="19"/>
        <v>0</v>
      </c>
      <c r="W30" s="2"/>
      <c r="X30" s="6">
        <f t="shared" si="20"/>
        <v>-203.98</v>
      </c>
      <c r="Y30" s="2"/>
      <c r="Z30" s="7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6">
        <v>40</v>
      </c>
      <c r="E31" s="2"/>
      <c r="F31" s="7">
        <f t="shared" si="14"/>
        <v>1.5732224945645165E-3</v>
      </c>
      <c r="G31" s="2"/>
      <c r="H31" s="6"/>
      <c r="I31" s="2"/>
      <c r="J31" s="7">
        <f t="shared" si="15"/>
        <v>0</v>
      </c>
      <c r="K31" s="2"/>
      <c r="L31" s="6">
        <f t="shared" si="16"/>
        <v>40</v>
      </c>
      <c r="M31" s="2"/>
      <c r="N31" s="7">
        <f t="shared" si="17"/>
        <v>0</v>
      </c>
      <c r="O31" s="11"/>
      <c r="P31" s="6">
        <v>40</v>
      </c>
      <c r="Q31" s="2"/>
      <c r="R31" s="7">
        <f t="shared" si="18"/>
        <v>8.3221556380419883E-4</v>
      </c>
      <c r="S31" s="2"/>
      <c r="T31" s="6"/>
      <c r="U31" s="2"/>
      <c r="V31" s="7">
        <f t="shared" si="19"/>
        <v>0</v>
      </c>
      <c r="W31" s="2"/>
      <c r="X31" s="6">
        <f t="shared" si="20"/>
        <v>40</v>
      </c>
      <c r="Y31" s="2"/>
      <c r="Z31" s="7">
        <f t="shared" si="21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6310.97</v>
      </c>
      <c r="E32" s="1"/>
      <c r="F32" s="5">
        <f t="shared" ref="F32:F35" si="22">IF(D$12=0,0,D32/D$12)</f>
        <v>0.24821399916304568</v>
      </c>
      <c r="G32" s="1"/>
      <c r="H32" s="1">
        <f>SUM(OSRRefH22_1x_0)</f>
        <v>0</v>
      </c>
      <c r="I32" s="1"/>
      <c r="J32" s="5">
        <f t="shared" ref="J32:J35" si="23">IF(H$12=0,0,H32/H$12)</f>
        <v>0</v>
      </c>
      <c r="K32" s="1"/>
      <c r="L32" s="1">
        <f t="shared" ref="L32:L35" si="24">+D32-H32</f>
        <v>6310.97</v>
      </c>
      <c r="M32" s="1"/>
      <c r="N32" s="5">
        <f t="shared" ref="N32:N35" si="25">IF(H32=0,0,L32/H32)</f>
        <v>0</v>
      </c>
      <c r="O32" s="14"/>
      <c r="P32" s="1">
        <f>SUM(OSRRefP22_1x_0)</f>
        <v>14281.46</v>
      </c>
      <c r="Q32" s="1"/>
      <c r="R32" s="5">
        <f t="shared" ref="R32:R35" si="26">IF(P$12=0,0,P32/P$12)</f>
        <v>0.29713133214617782</v>
      </c>
      <c r="S32" s="1"/>
      <c r="T32" s="1">
        <f>SUM(OSRRefT22_1x_0)</f>
        <v>884</v>
      </c>
      <c r="U32" s="1"/>
      <c r="V32" s="5">
        <f t="shared" ref="V32:V35" si="27">IF(T$12=0,0,T32/T$12)</f>
        <v>0</v>
      </c>
      <c r="W32" s="1"/>
      <c r="X32" s="1">
        <f t="shared" ref="X32:X35" si="28">+P32-T32</f>
        <v>13397.46</v>
      </c>
      <c r="Y32" s="1"/>
      <c r="Z32" s="5">
        <f t="shared" ref="Z32:Z35" si="29">IF(T32=0,0,X32/T32)</f>
        <v>15.15549773755656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884</v>
      </c>
      <c r="U33" s="2"/>
      <c r="V33" s="7">
        <f t="shared" si="27"/>
        <v>0</v>
      </c>
      <c r="W33" s="2"/>
      <c r="X33" s="6">
        <f t="shared" si="28"/>
        <v>-884</v>
      </c>
      <c r="Y33" s="2"/>
      <c r="Z33" s="7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>
        <v>4693.5</v>
      </c>
      <c r="E34" s="2"/>
      <c r="F34" s="7">
        <f t="shared" si="22"/>
        <v>0.18459799445596395</v>
      </c>
      <c r="G34" s="2"/>
      <c r="H34" s="6"/>
      <c r="I34" s="2"/>
      <c r="J34" s="7">
        <f t="shared" si="23"/>
        <v>0</v>
      </c>
      <c r="K34" s="2"/>
      <c r="L34" s="6">
        <f t="shared" si="24"/>
        <v>4693.5</v>
      </c>
      <c r="M34" s="2"/>
      <c r="N34" s="7">
        <f t="shared" si="25"/>
        <v>0</v>
      </c>
      <c r="O34" s="11"/>
      <c r="P34" s="6">
        <v>8090.1</v>
      </c>
      <c r="Q34" s="2"/>
      <c r="R34" s="7">
        <f t="shared" si="26"/>
        <v>0.16831767831830874</v>
      </c>
      <c r="S34" s="2"/>
      <c r="T34" s="6"/>
      <c r="U34" s="2"/>
      <c r="V34" s="7">
        <f t="shared" si="27"/>
        <v>0</v>
      </c>
      <c r="W34" s="2"/>
      <c r="X34" s="6">
        <f t="shared" si="28"/>
        <v>8090.1</v>
      </c>
      <c r="Y34" s="2"/>
      <c r="Z34" s="7">
        <f t="shared" si="29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6">
        <v>1617.47</v>
      </c>
      <c r="E35" s="2"/>
      <c r="F35" s="7">
        <f t="shared" si="22"/>
        <v>6.3616004707081716E-2</v>
      </c>
      <c r="G35" s="2"/>
      <c r="H35" s="6"/>
      <c r="I35" s="2"/>
      <c r="J35" s="7">
        <f t="shared" si="23"/>
        <v>0</v>
      </c>
      <c r="K35" s="2"/>
      <c r="L35" s="6">
        <f t="shared" si="24"/>
        <v>1617.47</v>
      </c>
      <c r="M35" s="2"/>
      <c r="N35" s="7">
        <f t="shared" si="25"/>
        <v>0</v>
      </c>
      <c r="O35" s="11"/>
      <c r="P35" s="6">
        <v>6191.36</v>
      </c>
      <c r="Q35" s="2"/>
      <c r="R35" s="7">
        <f t="shared" si="26"/>
        <v>0.12881365382786911</v>
      </c>
      <c r="S35" s="2"/>
      <c r="T35" s="6"/>
      <c r="U35" s="2"/>
      <c r="V35" s="7">
        <f t="shared" si="27"/>
        <v>0</v>
      </c>
      <c r="W35" s="2"/>
      <c r="X35" s="6">
        <f t="shared" si="28"/>
        <v>6191.36</v>
      </c>
      <c r="Y35" s="2"/>
      <c r="Z35" s="7">
        <f t="shared" si="29"/>
        <v>0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30">IF(D$12=0,0,D36/D$12)</f>
        <v>0</v>
      </c>
      <c r="G36" s="1"/>
      <c r="H36" s="1">
        <f>SUM(OSRRefH22_2x_0)</f>
        <v>0</v>
      </c>
      <c r="I36" s="1"/>
      <c r="J36" s="5">
        <f t="shared" ref="J36:J44" si="31">IF(H$12=0,0,H36/H$12)</f>
        <v>0</v>
      </c>
      <c r="K36" s="1"/>
      <c r="L36" s="1">
        <f t="shared" ref="L36:L44" si="32">+D36-H36</f>
        <v>0</v>
      </c>
      <c r="M36" s="1"/>
      <c r="N36" s="5">
        <f t="shared" ref="N36:N44" si="33">IF(H36=0,0,L36/H36)</f>
        <v>0</v>
      </c>
      <c r="O36" s="14"/>
      <c r="P36" s="1">
        <f>SUM(OSRRefP22_2x_0)</f>
        <v>87.97</v>
      </c>
      <c r="Q36" s="1"/>
      <c r="R36" s="5">
        <f t="shared" ref="R36:R44" si="34">IF(P$12=0,0,P36/P$12)</f>
        <v>1.8302500786963841E-3</v>
      </c>
      <c r="S36" s="1"/>
      <c r="T36" s="1">
        <f>SUM(OSRRefT22_2x_0)</f>
        <v>0</v>
      </c>
      <c r="U36" s="1"/>
      <c r="V36" s="5">
        <f t="shared" ref="V36:V44" si="35">IF(T$12=0,0,T36/T$12)</f>
        <v>0</v>
      </c>
      <c r="W36" s="1"/>
      <c r="X36" s="1">
        <f t="shared" ref="X36:X44" si="36">+P36-T36</f>
        <v>87.97</v>
      </c>
      <c r="Y36" s="1"/>
      <c r="Z36" s="5">
        <f t="shared" ref="Z36:Z44" si="37">IF(T36=0,0,X36/T36)</f>
        <v>0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30"/>
        <v>0</v>
      </c>
      <c r="G37" s="2"/>
      <c r="H37" s="6"/>
      <c r="I37" s="2"/>
      <c r="J37" s="7">
        <f t="shared" si="31"/>
        <v>0</v>
      </c>
      <c r="K37" s="2"/>
      <c r="L37" s="6">
        <f t="shared" si="32"/>
        <v>0</v>
      </c>
      <c r="M37" s="2"/>
      <c r="N37" s="7">
        <f t="shared" si="33"/>
        <v>0</v>
      </c>
      <c r="O37" s="11"/>
      <c r="P37" s="6">
        <v>87.97</v>
      </c>
      <c r="Q37" s="2"/>
      <c r="R37" s="7">
        <f t="shared" si="34"/>
        <v>1.8302500786963841E-3</v>
      </c>
      <c r="S37" s="2"/>
      <c r="T37" s="6"/>
      <c r="U37" s="2"/>
      <c r="V37" s="7">
        <f t="shared" si="35"/>
        <v>0</v>
      </c>
      <c r="W37" s="2"/>
      <c r="X37" s="6">
        <f t="shared" si="36"/>
        <v>87.97</v>
      </c>
      <c r="Y37" s="2"/>
      <c r="Z37" s="7">
        <f t="shared" si="37"/>
        <v>0</v>
      </c>
    </row>
    <row r="38" spans="1:26" s="28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-7.31</v>
      </c>
      <c r="E38" s="1"/>
      <c r="F38" s="5">
        <f t="shared" si="30"/>
        <v>-2.8750641088166537E-4</v>
      </c>
      <c r="G38" s="1"/>
      <c r="H38" s="1">
        <f>SUM(OSRRefH22_3x_0)</f>
        <v>0</v>
      </c>
      <c r="I38" s="1"/>
      <c r="J38" s="5">
        <f t="shared" si="31"/>
        <v>0</v>
      </c>
      <c r="K38" s="1"/>
      <c r="L38" s="1">
        <f t="shared" si="32"/>
        <v>-7.31</v>
      </c>
      <c r="M38" s="1"/>
      <c r="N38" s="5">
        <f t="shared" si="33"/>
        <v>0</v>
      </c>
      <c r="O38" s="14"/>
      <c r="P38" s="1">
        <f>SUM(OSRRefP22_3x_0)</f>
        <v>7.18</v>
      </c>
      <c r="Q38" s="1"/>
      <c r="R38" s="5">
        <f t="shared" si="34"/>
        <v>1.4938269370285367E-4</v>
      </c>
      <c r="S38" s="1"/>
      <c r="T38" s="1">
        <f>SUM(OSRRefT22_3x_0)</f>
        <v>0</v>
      </c>
      <c r="U38" s="1"/>
      <c r="V38" s="5">
        <f t="shared" si="35"/>
        <v>0</v>
      </c>
      <c r="W38" s="1"/>
      <c r="X38" s="1">
        <f t="shared" si="36"/>
        <v>7.18</v>
      </c>
      <c r="Y38" s="1"/>
      <c r="Z38" s="5">
        <f t="shared" si="37"/>
        <v>0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6">
        <v>-7.31</v>
      </c>
      <c r="E39" s="2"/>
      <c r="F39" s="7">
        <f t="shared" si="30"/>
        <v>-2.8750641088166537E-4</v>
      </c>
      <c r="G39" s="2"/>
      <c r="H39" s="6"/>
      <c r="I39" s="2"/>
      <c r="J39" s="7">
        <f t="shared" si="31"/>
        <v>0</v>
      </c>
      <c r="K39" s="2"/>
      <c r="L39" s="6">
        <f t="shared" si="32"/>
        <v>-7.31</v>
      </c>
      <c r="M39" s="2"/>
      <c r="N39" s="7">
        <f t="shared" si="33"/>
        <v>0</v>
      </c>
      <c r="O39" s="11"/>
      <c r="P39" s="6">
        <v>7.18</v>
      </c>
      <c r="Q39" s="2"/>
      <c r="R39" s="7">
        <f t="shared" si="34"/>
        <v>1.4938269370285367E-4</v>
      </c>
      <c r="S39" s="2"/>
      <c r="T39" s="6"/>
      <c r="U39" s="2"/>
      <c r="V39" s="7">
        <f t="shared" si="35"/>
        <v>0</v>
      </c>
      <c r="W39" s="2"/>
      <c r="X39" s="6">
        <f t="shared" si="36"/>
        <v>7.18</v>
      </c>
      <c r="Y39" s="2"/>
      <c r="Z39" s="7">
        <f t="shared" si="37"/>
        <v>0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912.88</v>
      </c>
      <c r="E40" s="1"/>
      <c r="F40" s="5">
        <f t="shared" si="30"/>
        <v>3.5904083770951396E-2</v>
      </c>
      <c r="G40" s="1"/>
      <c r="H40" s="1">
        <f>SUM(OSRRefH22_4x_0)</f>
        <v>0</v>
      </c>
      <c r="I40" s="1"/>
      <c r="J40" s="5">
        <f t="shared" si="31"/>
        <v>0</v>
      </c>
      <c r="K40" s="1"/>
      <c r="L40" s="1">
        <f t="shared" si="32"/>
        <v>912.88</v>
      </c>
      <c r="M40" s="1"/>
      <c r="N40" s="5">
        <f t="shared" si="33"/>
        <v>0</v>
      </c>
      <c r="O40" s="14"/>
      <c r="P40" s="1">
        <f>SUM(OSRRefP22_4x_0)</f>
        <v>2001.79</v>
      </c>
      <c r="Q40" s="1"/>
      <c r="R40" s="5">
        <f t="shared" si="34"/>
        <v>4.1648019836690177E-2</v>
      </c>
      <c r="S40" s="1"/>
      <c r="T40" s="1">
        <f>SUM(OSRRefT22_4x_0)</f>
        <v>0</v>
      </c>
      <c r="U40" s="1"/>
      <c r="V40" s="5">
        <f t="shared" si="35"/>
        <v>0</v>
      </c>
      <c r="W40" s="1"/>
      <c r="X40" s="1">
        <f t="shared" si="36"/>
        <v>2001.79</v>
      </c>
      <c r="Y40" s="1"/>
      <c r="Z40" s="5">
        <f t="shared" si="37"/>
        <v>0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6">
        <v>912.88</v>
      </c>
      <c r="E41" s="2"/>
      <c r="F41" s="7">
        <f t="shared" si="30"/>
        <v>3.5904083770951396E-2</v>
      </c>
      <c r="G41" s="2"/>
      <c r="H41" s="6"/>
      <c r="I41" s="2"/>
      <c r="J41" s="7">
        <f t="shared" si="31"/>
        <v>0</v>
      </c>
      <c r="K41" s="2"/>
      <c r="L41" s="6">
        <f t="shared" si="32"/>
        <v>912.88</v>
      </c>
      <c r="M41" s="2"/>
      <c r="N41" s="7">
        <f t="shared" si="33"/>
        <v>0</v>
      </c>
      <c r="O41" s="11"/>
      <c r="P41" s="6">
        <v>2001.79</v>
      </c>
      <c r="Q41" s="2"/>
      <c r="R41" s="7">
        <f t="shared" si="34"/>
        <v>4.1648019836690177E-2</v>
      </c>
      <c r="S41" s="2"/>
      <c r="T41" s="6"/>
      <c r="U41" s="2"/>
      <c r="V41" s="7">
        <f t="shared" si="35"/>
        <v>0</v>
      </c>
      <c r="W41" s="2"/>
      <c r="X41" s="6">
        <f t="shared" si="36"/>
        <v>2001.79</v>
      </c>
      <c r="Y41" s="2"/>
      <c r="Z41" s="7">
        <f t="shared" si="37"/>
        <v>0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5471.21</v>
      </c>
      <c r="E42" s="1"/>
      <c r="F42" s="5">
        <f t="shared" si="30"/>
        <v>0.2151857661121582</v>
      </c>
      <c r="G42" s="1"/>
      <c r="H42" s="1">
        <f>SUM(OSRRefH22_5x_0)</f>
        <v>5582.5700000000006</v>
      </c>
      <c r="I42" s="1"/>
      <c r="J42" s="5">
        <f t="shared" si="31"/>
        <v>0</v>
      </c>
      <c r="K42" s="1"/>
      <c r="L42" s="1">
        <f t="shared" si="32"/>
        <v>-111.36000000000058</v>
      </c>
      <c r="M42" s="1"/>
      <c r="N42" s="5">
        <f t="shared" si="33"/>
        <v>-1.9947801818875639E-2</v>
      </c>
      <c r="O42" s="14"/>
      <c r="P42" s="1">
        <f>SUM(OSRRefP22_5x_0)</f>
        <v>21884.84</v>
      </c>
      <c r="Q42" s="1"/>
      <c r="R42" s="5">
        <f t="shared" si="34"/>
        <v>0.45532261148411707</v>
      </c>
      <c r="S42" s="1"/>
      <c r="T42" s="1">
        <f>SUM(OSRRefT22_5x_0)</f>
        <v>22330.34</v>
      </c>
      <c r="U42" s="1"/>
      <c r="V42" s="5">
        <f t="shared" si="35"/>
        <v>0</v>
      </c>
      <c r="W42" s="1"/>
      <c r="X42" s="1">
        <f t="shared" si="36"/>
        <v>-445.5</v>
      </c>
      <c r="Y42" s="1"/>
      <c r="Z42" s="5">
        <f t="shared" si="37"/>
        <v>-1.9950435147875045E-2</v>
      </c>
    </row>
    <row r="43" spans="1:26" s="24" customFormat="1" hidden="1" outlineLevel="2" x14ac:dyDescent="0.25">
      <c r="A43" s="29"/>
      <c r="B43" s="11" t="str">
        <f>CONCATENATE("          ", "6321", " - ", "BUILDING DEPRECIATION")</f>
        <v xml:space="preserve">          6321 - BUILDING DEPRECIATION</v>
      </c>
      <c r="C43" s="11"/>
      <c r="D43" s="6">
        <v>5080.51</v>
      </c>
      <c r="E43" s="2"/>
      <c r="F43" s="7">
        <f t="shared" si="30"/>
        <v>0.1998193153964993</v>
      </c>
      <c r="G43" s="2"/>
      <c r="H43" s="6">
        <v>5080.51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>
        <v>20322.04</v>
      </c>
      <c r="Q43" s="2"/>
      <c r="R43" s="7">
        <f t="shared" si="34"/>
        <v>0.42280794940628702</v>
      </c>
      <c r="S43" s="2"/>
      <c r="T43" s="6">
        <v>20322.04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390.7</v>
      </c>
      <c r="E44" s="2"/>
      <c r="F44" s="7">
        <f t="shared" si="30"/>
        <v>1.5366450715658914E-2</v>
      </c>
      <c r="G44" s="2"/>
      <c r="H44" s="6">
        <v>502.06</v>
      </c>
      <c r="I44" s="2"/>
      <c r="J44" s="7">
        <f t="shared" si="31"/>
        <v>0</v>
      </c>
      <c r="K44" s="2"/>
      <c r="L44" s="6">
        <f t="shared" si="32"/>
        <v>-111.36000000000001</v>
      </c>
      <c r="M44" s="2"/>
      <c r="N44" s="7">
        <f t="shared" si="33"/>
        <v>-0.22180615862645903</v>
      </c>
      <c r="O44" s="11"/>
      <c r="P44" s="6">
        <v>1562.8</v>
      </c>
      <c r="Q44" s="2"/>
      <c r="R44" s="7">
        <f t="shared" si="34"/>
        <v>3.2514662077830048E-2</v>
      </c>
      <c r="S44" s="2"/>
      <c r="T44" s="6">
        <v>2008.3</v>
      </c>
      <c r="U44" s="2"/>
      <c r="V44" s="7">
        <f t="shared" si="35"/>
        <v>0</v>
      </c>
      <c r="W44" s="2"/>
      <c r="X44" s="6">
        <f t="shared" si="36"/>
        <v>-445.5</v>
      </c>
      <c r="Y44" s="2"/>
      <c r="Z44" s="7">
        <f t="shared" si="37"/>
        <v>-0.22182940795697853</v>
      </c>
    </row>
    <row r="45" spans="1:26" s="28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ref="F45:F53" si="38">IF(D$12=0,0,D45/D$12)</f>
        <v>0</v>
      </c>
      <c r="G45" s="1"/>
      <c r="H45" s="1">
        <f>SUM(OSRRefH22_6x_0)</f>
        <v>0</v>
      </c>
      <c r="I45" s="1"/>
      <c r="J45" s="5">
        <f t="shared" ref="J45:J53" si="39">IF(H$12=0,0,H45/H$12)</f>
        <v>0</v>
      </c>
      <c r="K45" s="1"/>
      <c r="L45" s="1">
        <f t="shared" ref="L45:L53" si="40">+D45-H45</f>
        <v>0</v>
      </c>
      <c r="M45" s="1"/>
      <c r="N45" s="5">
        <f t="shared" ref="N45:N53" si="41">IF(H45=0,0,L45/H45)</f>
        <v>0</v>
      </c>
      <c r="O45" s="14"/>
      <c r="P45" s="1">
        <f>SUM(OSRRefP22_6x_0)</f>
        <v>842.45</v>
      </c>
      <c r="Q45" s="1"/>
      <c r="R45" s="5">
        <f t="shared" ref="R45:R53" si="42">IF(P$12=0,0,P45/P$12)</f>
        <v>1.7527500043171183E-2</v>
      </c>
      <c r="S45" s="1"/>
      <c r="T45" s="1">
        <f>SUM(OSRRefT22_6x_0)</f>
        <v>754.55</v>
      </c>
      <c r="U45" s="1"/>
      <c r="V45" s="5">
        <f t="shared" ref="V45:V53" si="43">IF(T$12=0,0,T45/T$12)</f>
        <v>0</v>
      </c>
      <c r="W45" s="1"/>
      <c r="X45" s="1">
        <f t="shared" ref="X45:X53" si="44">+P45-T45</f>
        <v>87.900000000000091</v>
      </c>
      <c r="Y45" s="1"/>
      <c r="Z45" s="5">
        <f t="shared" ref="Z45:Z53" si="45">IF(T45=0,0,X45/T45)</f>
        <v>0.11649327413690291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8"/>
        <v>0</v>
      </c>
      <c r="G46" s="2"/>
      <c r="H46" s="6">
        <v>0</v>
      </c>
      <c r="I46" s="2"/>
      <c r="J46" s="7">
        <f t="shared" si="39"/>
        <v>0</v>
      </c>
      <c r="K46" s="2"/>
      <c r="L46" s="6">
        <f t="shared" si="40"/>
        <v>0</v>
      </c>
      <c r="M46" s="2"/>
      <c r="N46" s="7">
        <f t="shared" si="41"/>
        <v>0</v>
      </c>
      <c r="O46" s="11"/>
      <c r="P46" s="6">
        <v>842.45</v>
      </c>
      <c r="Q46" s="2"/>
      <c r="R46" s="7">
        <f t="shared" si="42"/>
        <v>1.7527500043171183E-2</v>
      </c>
      <c r="S46" s="2"/>
      <c r="T46" s="6">
        <v>754.55</v>
      </c>
      <c r="U46" s="2"/>
      <c r="V46" s="7">
        <f t="shared" si="43"/>
        <v>0</v>
      </c>
      <c r="W46" s="2"/>
      <c r="X46" s="6">
        <f t="shared" si="44"/>
        <v>87.900000000000091</v>
      </c>
      <c r="Y46" s="2"/>
      <c r="Z46" s="7">
        <f t="shared" si="45"/>
        <v>0.11649327413690291</v>
      </c>
    </row>
    <row r="47" spans="1:26" s="28" customFormat="1" outlineLevel="1" collapsed="1" x14ac:dyDescent="0.25">
      <c r="A47" s="27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SUM(OSRRefD22_7x_0)</f>
        <v>331.01</v>
      </c>
      <c r="E47" s="1"/>
      <c r="F47" s="5">
        <f t="shared" si="38"/>
        <v>1.3018809448145015E-2</v>
      </c>
      <c r="G47" s="1"/>
      <c r="H47" s="1">
        <f>SUM(OSRRefH22_7x_0)</f>
        <v>243.54</v>
      </c>
      <c r="I47" s="1"/>
      <c r="J47" s="5">
        <f t="shared" si="39"/>
        <v>0</v>
      </c>
      <c r="K47" s="1"/>
      <c r="L47" s="1">
        <f t="shared" si="40"/>
        <v>87.47</v>
      </c>
      <c r="M47" s="1"/>
      <c r="N47" s="5">
        <f t="shared" si="41"/>
        <v>0.35916071281924944</v>
      </c>
      <c r="O47" s="14"/>
      <c r="P47" s="1">
        <f>SUM(OSRRefP22_7x_0)</f>
        <v>1324.04</v>
      </c>
      <c r="Q47" s="1"/>
      <c r="R47" s="5">
        <f t="shared" si="42"/>
        <v>2.7547167377482782E-2</v>
      </c>
      <c r="S47" s="1"/>
      <c r="T47" s="1">
        <f>SUM(OSRRefT22_7x_0)</f>
        <v>974.16</v>
      </c>
      <c r="U47" s="1"/>
      <c r="V47" s="5">
        <f t="shared" si="43"/>
        <v>0</v>
      </c>
      <c r="W47" s="1"/>
      <c r="X47" s="1">
        <f t="shared" si="44"/>
        <v>349.88</v>
      </c>
      <c r="Y47" s="1"/>
      <c r="Z47" s="5">
        <f t="shared" si="45"/>
        <v>0.35916071281924944</v>
      </c>
    </row>
    <row r="48" spans="1:26" s="24" customFormat="1" hidden="1" outlineLevel="2" x14ac:dyDescent="0.25">
      <c r="A48" s="29"/>
      <c r="B48" s="11" t="str">
        <f>CONCATENATE("          ", "6314", " - ", "LIABILITY INSURANCE")</f>
        <v xml:space="preserve">          6314 - LIABILITY INSURANCE</v>
      </c>
      <c r="C48" s="11"/>
      <c r="D48" s="6">
        <v>331.01</v>
      </c>
      <c r="E48" s="2"/>
      <c r="F48" s="7">
        <f t="shared" si="38"/>
        <v>1.3018809448145015E-2</v>
      </c>
      <c r="G48" s="2"/>
      <c r="H48" s="6">
        <v>243.54</v>
      </c>
      <c r="I48" s="2"/>
      <c r="J48" s="7">
        <f t="shared" si="39"/>
        <v>0</v>
      </c>
      <c r="K48" s="2"/>
      <c r="L48" s="6">
        <f t="shared" si="40"/>
        <v>87.47</v>
      </c>
      <c r="M48" s="2"/>
      <c r="N48" s="7">
        <f t="shared" si="41"/>
        <v>0.35916071281924944</v>
      </c>
      <c r="O48" s="11"/>
      <c r="P48" s="6">
        <v>1324.04</v>
      </c>
      <c r="Q48" s="2"/>
      <c r="R48" s="7">
        <f t="shared" si="42"/>
        <v>2.7547167377482782E-2</v>
      </c>
      <c r="S48" s="2"/>
      <c r="T48" s="6">
        <v>974.16</v>
      </c>
      <c r="U48" s="2"/>
      <c r="V48" s="7">
        <f t="shared" si="43"/>
        <v>0</v>
      </c>
      <c r="W48" s="2"/>
      <c r="X48" s="6">
        <f t="shared" si="44"/>
        <v>349.88</v>
      </c>
      <c r="Y48" s="2"/>
      <c r="Z48" s="7">
        <f t="shared" si="45"/>
        <v>0.35916071281924944</v>
      </c>
    </row>
    <row r="49" spans="1:26" s="28" customFormat="1" outlineLevel="1" collapsed="1" x14ac:dyDescent="0.25">
      <c r="A49" s="27"/>
      <c r="B49" s="14" t="str">
        <f>CONCATENATE("     ","Interest                                          ")</f>
        <v xml:space="preserve">     Interest                                          </v>
      </c>
      <c r="C49" s="14"/>
      <c r="D49" s="1">
        <f>SUM(OSRRefD22_8x_0)</f>
        <v>3629</v>
      </c>
      <c r="E49" s="1"/>
      <c r="F49" s="5">
        <f t="shared" si="38"/>
        <v>0.14273061081936575</v>
      </c>
      <c r="G49" s="1"/>
      <c r="H49" s="1">
        <f>SUM(OSRRefH22_8x_0)</f>
        <v>3781.85</v>
      </c>
      <c r="I49" s="1"/>
      <c r="J49" s="5">
        <f t="shared" si="39"/>
        <v>0</v>
      </c>
      <c r="K49" s="1"/>
      <c r="L49" s="1">
        <f t="shared" si="40"/>
        <v>-152.84999999999991</v>
      </c>
      <c r="M49" s="1"/>
      <c r="N49" s="5">
        <f t="shared" si="41"/>
        <v>-4.0416727263111948E-2</v>
      </c>
      <c r="O49" s="14"/>
      <c r="P49" s="1">
        <f>SUM(OSRRefP22_8x_0)</f>
        <v>15344</v>
      </c>
      <c r="Q49" s="1"/>
      <c r="R49" s="5">
        <f t="shared" si="42"/>
        <v>0.31923789027529065</v>
      </c>
      <c r="S49" s="1"/>
      <c r="T49" s="1">
        <f>SUM(OSRRefT22_8x_0)</f>
        <v>15913.85</v>
      </c>
      <c r="U49" s="1"/>
      <c r="V49" s="5">
        <f t="shared" si="43"/>
        <v>0</v>
      </c>
      <c r="W49" s="1"/>
      <c r="X49" s="1">
        <f t="shared" si="44"/>
        <v>-569.85000000000036</v>
      </c>
      <c r="Y49" s="1"/>
      <c r="Z49" s="5">
        <f t="shared" si="45"/>
        <v>-3.580843102077752E-2</v>
      </c>
    </row>
    <row r="50" spans="1:26" s="24" customFormat="1" hidden="1" outlineLevel="2" x14ac:dyDescent="0.25">
      <c r="A50" s="29"/>
      <c r="B50" s="11" t="str">
        <f>CONCATENATE("          ", "6401", " - ", "INTEREST EXPENSE")</f>
        <v xml:space="preserve">          6401 - INTEREST EXPENSE</v>
      </c>
      <c r="C50" s="11"/>
      <c r="D50" s="6">
        <v>3629</v>
      </c>
      <c r="E50" s="2"/>
      <c r="F50" s="7">
        <f t="shared" si="38"/>
        <v>0.14273061081936575</v>
      </c>
      <c r="G50" s="2"/>
      <c r="H50" s="6">
        <v>3781.85</v>
      </c>
      <c r="I50" s="2"/>
      <c r="J50" s="7">
        <f t="shared" si="39"/>
        <v>0</v>
      </c>
      <c r="K50" s="2"/>
      <c r="L50" s="6">
        <f t="shared" si="40"/>
        <v>-152.84999999999991</v>
      </c>
      <c r="M50" s="2"/>
      <c r="N50" s="7">
        <f t="shared" si="41"/>
        <v>-4.0416727263111948E-2</v>
      </c>
      <c r="O50" s="11"/>
      <c r="P50" s="6">
        <v>15344</v>
      </c>
      <c r="Q50" s="2"/>
      <c r="R50" s="7">
        <f t="shared" si="42"/>
        <v>0.31923789027529065</v>
      </c>
      <c r="S50" s="2"/>
      <c r="T50" s="6">
        <v>15913.85</v>
      </c>
      <c r="U50" s="2"/>
      <c r="V50" s="7">
        <f t="shared" si="43"/>
        <v>0</v>
      </c>
      <c r="W50" s="2"/>
      <c r="X50" s="6">
        <f t="shared" si="44"/>
        <v>-569.85000000000036</v>
      </c>
      <c r="Y50" s="2"/>
      <c r="Z50" s="7">
        <f t="shared" si="45"/>
        <v>-3.580843102077752E-2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SUM(OSRRefD22_9x_0)</f>
        <v>238.26</v>
      </c>
      <c r="E51" s="1"/>
      <c r="F51" s="5">
        <f t="shared" si="38"/>
        <v>9.3708997888735414E-3</v>
      </c>
      <c r="G51" s="1"/>
      <c r="H51" s="1">
        <f>SUM(OSRRefH22_9x_0)</f>
        <v>0</v>
      </c>
      <c r="I51" s="1"/>
      <c r="J51" s="5">
        <f t="shared" si="39"/>
        <v>0</v>
      </c>
      <c r="K51" s="1"/>
      <c r="L51" s="1">
        <f t="shared" si="40"/>
        <v>238.26</v>
      </c>
      <c r="M51" s="1"/>
      <c r="N51" s="5">
        <f t="shared" si="41"/>
        <v>0</v>
      </c>
      <c r="O51" s="14"/>
      <c r="P51" s="1">
        <f>SUM(OSRRefP22_9x_0)</f>
        <v>2269.0300000000002</v>
      </c>
      <c r="Q51" s="1"/>
      <c r="R51" s="5">
        <f t="shared" si="42"/>
        <v>4.7208052018466035E-2</v>
      </c>
      <c r="S51" s="1"/>
      <c r="T51" s="1">
        <f>SUM(OSRRefT22_9x_0)</f>
        <v>187.12</v>
      </c>
      <c r="U51" s="1"/>
      <c r="V51" s="5">
        <f t="shared" si="43"/>
        <v>0</v>
      </c>
      <c r="W51" s="1"/>
      <c r="X51" s="1">
        <f t="shared" si="44"/>
        <v>2081.9100000000003</v>
      </c>
      <c r="Y51" s="1"/>
      <c r="Z51" s="5">
        <f t="shared" si="45"/>
        <v>11.126068832834546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107.78</v>
      </c>
      <c r="Q52" s="2"/>
      <c r="R52" s="7">
        <f t="shared" si="42"/>
        <v>2.2424048366704139E-3</v>
      </c>
      <c r="S52" s="2"/>
      <c r="T52" s="6">
        <v>187.12</v>
      </c>
      <c r="U52" s="2"/>
      <c r="V52" s="7">
        <f t="shared" si="43"/>
        <v>0</v>
      </c>
      <c r="W52" s="2"/>
      <c r="X52" s="6">
        <f t="shared" si="44"/>
        <v>-79.34</v>
      </c>
      <c r="Y52" s="2"/>
      <c r="Z52" s="7">
        <f t="shared" si="45"/>
        <v>-0.42400598546387347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238.26</v>
      </c>
      <c r="E53" s="2"/>
      <c r="F53" s="7">
        <f t="shared" si="38"/>
        <v>9.3708997888735414E-3</v>
      </c>
      <c r="G53" s="2"/>
      <c r="H53" s="6"/>
      <c r="I53" s="2"/>
      <c r="J53" s="7">
        <f t="shared" si="39"/>
        <v>0</v>
      </c>
      <c r="K53" s="2"/>
      <c r="L53" s="6">
        <f t="shared" si="40"/>
        <v>238.26</v>
      </c>
      <c r="M53" s="2"/>
      <c r="N53" s="7">
        <f t="shared" si="41"/>
        <v>0</v>
      </c>
      <c r="O53" s="11"/>
      <c r="P53" s="6">
        <v>2161.25</v>
      </c>
      <c r="Q53" s="2"/>
      <c r="R53" s="7">
        <f t="shared" si="42"/>
        <v>4.4965647181795618E-2</v>
      </c>
      <c r="S53" s="2"/>
      <c r="T53" s="6"/>
      <c r="U53" s="2"/>
      <c r="V53" s="7">
        <f t="shared" si="43"/>
        <v>0</v>
      </c>
      <c r="W53" s="2"/>
      <c r="X53" s="6">
        <f t="shared" si="44"/>
        <v>2161.25</v>
      </c>
      <c r="Y53" s="2"/>
      <c r="Z53" s="7">
        <f t="shared" si="45"/>
        <v>0</v>
      </c>
    </row>
    <row r="54" spans="1:26" s="28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SUM(OSRRefD22_10x_0)</f>
        <v>440.68</v>
      </c>
      <c r="E54" s="1"/>
      <c r="F54" s="5">
        <f t="shared" ref="F54:F57" si="46">IF(D$12=0,0,D54/D$12)</f>
        <v>1.7332192222617279E-2</v>
      </c>
      <c r="G54" s="1"/>
      <c r="H54" s="1">
        <f>SUM(OSRRefH22_10x_0)</f>
        <v>0</v>
      </c>
      <c r="I54" s="1"/>
      <c r="J54" s="5">
        <f t="shared" ref="J54:J57" si="47">IF(H$12=0,0,H54/H$12)</f>
        <v>0</v>
      </c>
      <c r="K54" s="1"/>
      <c r="L54" s="1">
        <f t="shared" ref="L54:L57" si="48">+D54-H54</f>
        <v>440.68</v>
      </c>
      <c r="M54" s="1"/>
      <c r="N54" s="5">
        <f t="shared" ref="N54:N57" si="49">IF(H54=0,0,L54/H54)</f>
        <v>0</v>
      </c>
      <c r="O54" s="14"/>
      <c r="P54" s="1">
        <f>SUM(OSRRefP22_10x_0)</f>
        <v>8110.880000000001</v>
      </c>
      <c r="Q54" s="1"/>
      <c r="R54" s="5">
        <f t="shared" ref="R54:R57" si="50">IF(P$12=0,0,P54/P$12)</f>
        <v>0.16875001430370501</v>
      </c>
      <c r="S54" s="1"/>
      <c r="T54" s="1">
        <f>SUM(OSRRefT22_10x_0)</f>
        <v>0</v>
      </c>
      <c r="U54" s="1"/>
      <c r="V54" s="5">
        <f t="shared" ref="V54:V57" si="51">IF(T$12=0,0,T54/T$12)</f>
        <v>0</v>
      </c>
      <c r="W54" s="1"/>
      <c r="X54" s="1">
        <f t="shared" ref="X54:X57" si="52">+P54-T54</f>
        <v>8110.880000000001</v>
      </c>
      <c r="Y54" s="1"/>
      <c r="Z54" s="5">
        <f t="shared" ref="Z54:Z57" si="53">IF(T54=0,0,X54/T54)</f>
        <v>0</v>
      </c>
    </row>
    <row r="55" spans="1:26" s="24" customFormat="1" hidden="1" outlineLevel="2" x14ac:dyDescent="0.25">
      <c r="A55" s="29"/>
      <c r="B55" s="11" t="str">
        <f>CONCATENATE("          ", "6282", " - ", "JANITORIAL/EXTERMINATOR EXPENS")</f>
        <v xml:space="preserve">          6282 - JANITORIAL/EXTERMINATOR EXPENS</v>
      </c>
      <c r="C55" s="11"/>
      <c r="D55" s="6">
        <v>336.8</v>
      </c>
      <c r="E55" s="2"/>
      <c r="F55" s="7">
        <f t="shared" si="46"/>
        <v>1.324653340423323E-2</v>
      </c>
      <c r="G55" s="2"/>
      <c r="H55" s="6"/>
      <c r="I55" s="2"/>
      <c r="J55" s="7">
        <f t="shared" si="47"/>
        <v>0</v>
      </c>
      <c r="K55" s="2"/>
      <c r="L55" s="6">
        <f t="shared" si="48"/>
        <v>336.8</v>
      </c>
      <c r="M55" s="2"/>
      <c r="N55" s="7">
        <f t="shared" si="49"/>
        <v>0</v>
      </c>
      <c r="O55" s="11"/>
      <c r="P55" s="6">
        <v>673.6</v>
      </c>
      <c r="Q55" s="2"/>
      <c r="R55" s="7">
        <f t="shared" si="50"/>
        <v>1.4014510094462708E-2</v>
      </c>
      <c r="S55" s="2"/>
      <c r="T55" s="6"/>
      <c r="U55" s="2"/>
      <c r="V55" s="7">
        <f t="shared" si="51"/>
        <v>0</v>
      </c>
      <c r="W55" s="2"/>
      <c r="X55" s="6">
        <f t="shared" si="52"/>
        <v>673.6</v>
      </c>
      <c r="Y55" s="2"/>
      <c r="Z55" s="7">
        <f t="shared" si="53"/>
        <v>0</v>
      </c>
    </row>
    <row r="56" spans="1:26" s="24" customFormat="1" hidden="1" outlineLevel="2" x14ac:dyDescent="0.25">
      <c r="A56" s="29"/>
      <c r="B56" s="11" t="str">
        <f>CONCATENATE("          ", "6285", " - ", "JANITORIAL SERVICES")</f>
        <v xml:space="preserve">          6285 - JANITORIAL SERVICES</v>
      </c>
      <c r="C56" s="11"/>
      <c r="D56" s="6"/>
      <c r="E56" s="2"/>
      <c r="F56" s="7">
        <f t="shared" si="46"/>
        <v>0</v>
      </c>
      <c r="G56" s="2"/>
      <c r="H56" s="6"/>
      <c r="I56" s="2"/>
      <c r="J56" s="7">
        <f t="shared" si="47"/>
        <v>0</v>
      </c>
      <c r="K56" s="2"/>
      <c r="L56" s="6">
        <f t="shared" si="48"/>
        <v>0</v>
      </c>
      <c r="M56" s="2"/>
      <c r="N56" s="7">
        <f t="shared" si="49"/>
        <v>0</v>
      </c>
      <c r="O56" s="11"/>
      <c r="P56" s="6">
        <v>7229.52</v>
      </c>
      <c r="Q56" s="2"/>
      <c r="R56" s="7">
        <f t="shared" si="50"/>
        <v>0.15041297657084329</v>
      </c>
      <c r="S56" s="2"/>
      <c r="T56" s="6"/>
      <c r="U56" s="2"/>
      <c r="V56" s="7">
        <f t="shared" si="51"/>
        <v>0</v>
      </c>
      <c r="W56" s="2"/>
      <c r="X56" s="6">
        <f t="shared" si="52"/>
        <v>7229.52</v>
      </c>
      <c r="Y56" s="2"/>
      <c r="Z56" s="7">
        <f t="shared" si="53"/>
        <v>0</v>
      </c>
    </row>
    <row r="57" spans="1:26" s="24" customFormat="1" hidden="1" outlineLevel="2" x14ac:dyDescent="0.25">
      <c r="A57" s="29"/>
      <c r="B57" s="11" t="str">
        <f>CONCATENATE("          ", "6286", " - ", "LAUNDRY EXPENSE")</f>
        <v xml:space="preserve">          6286 - LAUNDRY EXPENSE</v>
      </c>
      <c r="C57" s="11"/>
      <c r="D57" s="6">
        <v>103.88</v>
      </c>
      <c r="E57" s="2"/>
      <c r="F57" s="7">
        <f t="shared" si="46"/>
        <v>4.0856588183840487E-3</v>
      </c>
      <c r="G57" s="2"/>
      <c r="H57" s="6"/>
      <c r="I57" s="2"/>
      <c r="J57" s="7">
        <f t="shared" si="47"/>
        <v>0</v>
      </c>
      <c r="K57" s="2"/>
      <c r="L57" s="6">
        <f t="shared" si="48"/>
        <v>103.88</v>
      </c>
      <c r="M57" s="2"/>
      <c r="N57" s="7">
        <f t="shared" si="49"/>
        <v>0</v>
      </c>
      <c r="O57" s="11"/>
      <c r="P57" s="6">
        <v>207.76</v>
      </c>
      <c r="Q57" s="2"/>
      <c r="R57" s="7">
        <f t="shared" si="50"/>
        <v>4.3225276383990086E-3</v>
      </c>
      <c r="S57" s="2"/>
      <c r="T57" s="6"/>
      <c r="U57" s="2"/>
      <c r="V57" s="7">
        <f t="shared" si="51"/>
        <v>0</v>
      </c>
      <c r="W57" s="2"/>
      <c r="X57" s="6">
        <f t="shared" si="52"/>
        <v>207.76</v>
      </c>
      <c r="Y57" s="2"/>
      <c r="Z57" s="7">
        <f t="shared" si="53"/>
        <v>0</v>
      </c>
    </row>
    <row r="58" spans="1:26" s="28" customFormat="1" outlineLevel="1" collapsed="1" x14ac:dyDescent="0.2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SUM(OSRRefD22_11x_0)</f>
        <v>248.87</v>
      </c>
      <c r="E58" s="1"/>
      <c r="F58" s="5">
        <f t="shared" ref="F58:F62" si="54">IF(D$12=0,0,D58/D$12)</f>
        <v>9.7881970555567799E-3</v>
      </c>
      <c r="G58" s="1"/>
      <c r="H58" s="1">
        <f>SUM(OSRRefH22_11x_0)</f>
        <v>0</v>
      </c>
      <c r="I58" s="1"/>
      <c r="J58" s="5">
        <f t="shared" ref="J58:J62" si="55">IF(H$12=0,0,H58/H$12)</f>
        <v>0</v>
      </c>
      <c r="K58" s="1"/>
      <c r="L58" s="1">
        <f t="shared" ref="L58:L62" si="56">+D58-H58</f>
        <v>248.87</v>
      </c>
      <c r="M58" s="1"/>
      <c r="N58" s="5">
        <f t="shared" ref="N58:N62" si="57">IF(H58=0,0,L58/H58)</f>
        <v>0</v>
      </c>
      <c r="O58" s="14"/>
      <c r="P58" s="1">
        <f>SUM(OSRRefP22_11x_0)</f>
        <v>1225.9299999999998</v>
      </c>
      <c r="Q58" s="1"/>
      <c r="R58" s="5">
        <f t="shared" ref="R58:R62" si="58">IF(P$12=0,0,P58/P$12)</f>
        <v>2.5505950653362034E-2</v>
      </c>
      <c r="S58" s="1"/>
      <c r="T58" s="1">
        <f>SUM(OSRRefT22_11x_0)</f>
        <v>634.24</v>
      </c>
      <c r="U58" s="1"/>
      <c r="V58" s="5">
        <f t="shared" ref="V58:V62" si="59">IF(T$12=0,0,T58/T$12)</f>
        <v>0</v>
      </c>
      <c r="W58" s="1"/>
      <c r="X58" s="1">
        <f t="shared" ref="X58:X62" si="60">+P58-T58</f>
        <v>591.68999999999983</v>
      </c>
      <c r="Y58" s="1"/>
      <c r="Z58" s="5">
        <f t="shared" ref="Z58:Z62" si="61">IF(T58=0,0,X58/T58)</f>
        <v>0.93291183148334988</v>
      </c>
    </row>
    <row r="59" spans="1:26" s="24" customFormat="1" hidden="1" outlineLevel="2" x14ac:dyDescent="0.25">
      <c r="A59" s="29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54"/>
        <v>0</v>
      </c>
      <c r="G59" s="2"/>
      <c r="H59" s="6"/>
      <c r="I59" s="2"/>
      <c r="J59" s="7">
        <f t="shared" si="55"/>
        <v>0</v>
      </c>
      <c r="K59" s="2"/>
      <c r="L59" s="6">
        <f t="shared" si="56"/>
        <v>0</v>
      </c>
      <c r="M59" s="2"/>
      <c r="N59" s="7">
        <f t="shared" si="57"/>
        <v>0</v>
      </c>
      <c r="O59" s="11"/>
      <c r="P59" s="6"/>
      <c r="Q59" s="2"/>
      <c r="R59" s="7">
        <f t="shared" si="58"/>
        <v>0</v>
      </c>
      <c r="S59" s="2"/>
      <c r="T59" s="6">
        <v>316.67</v>
      </c>
      <c r="U59" s="2"/>
      <c r="V59" s="7">
        <f t="shared" si="59"/>
        <v>0</v>
      </c>
      <c r="W59" s="2"/>
      <c r="X59" s="6">
        <f t="shared" si="60"/>
        <v>-316.67</v>
      </c>
      <c r="Y59" s="2"/>
      <c r="Z59" s="7">
        <f t="shared" si="61"/>
        <v>-1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54"/>
        <v>0</v>
      </c>
      <c r="G60" s="2"/>
      <c r="H60" s="6"/>
      <c r="I60" s="2"/>
      <c r="J60" s="7">
        <f t="shared" si="55"/>
        <v>0</v>
      </c>
      <c r="K60" s="2"/>
      <c r="L60" s="6">
        <f t="shared" si="56"/>
        <v>0</v>
      </c>
      <c r="M60" s="2"/>
      <c r="N60" s="7">
        <f t="shared" si="57"/>
        <v>0</v>
      </c>
      <c r="O60" s="11"/>
      <c r="P60" s="6">
        <v>488.84</v>
      </c>
      <c r="Q60" s="2"/>
      <c r="R60" s="7">
        <f t="shared" si="58"/>
        <v>1.0170506405251113E-2</v>
      </c>
      <c r="S60" s="2"/>
      <c r="T60" s="6">
        <v>317.57</v>
      </c>
      <c r="U60" s="2"/>
      <c r="V60" s="7">
        <f t="shared" si="59"/>
        <v>0</v>
      </c>
      <c r="W60" s="2"/>
      <c r="X60" s="6">
        <f t="shared" si="60"/>
        <v>171.26999999999998</v>
      </c>
      <c r="Y60" s="2"/>
      <c r="Z60" s="7">
        <f t="shared" si="61"/>
        <v>0.53931416695531686</v>
      </c>
    </row>
    <row r="61" spans="1:26" s="24" customFormat="1" hidden="1" outlineLevel="2" x14ac:dyDescent="0.25">
      <c r="A61" s="29"/>
      <c r="B61" s="11" t="str">
        <f>CONCATENATE("          ", "6241", " - ", "OFFICE EXPENSE")</f>
        <v xml:space="preserve">          6241 - OFFICE EXPENSE</v>
      </c>
      <c r="C61" s="11"/>
      <c r="D61" s="6">
        <v>42.74</v>
      </c>
      <c r="E61" s="2"/>
      <c r="F61" s="7">
        <f t="shared" si="54"/>
        <v>1.6809882354421859E-3</v>
      </c>
      <c r="G61" s="2"/>
      <c r="H61" s="6"/>
      <c r="I61" s="2"/>
      <c r="J61" s="7">
        <f t="shared" si="55"/>
        <v>0</v>
      </c>
      <c r="K61" s="2"/>
      <c r="L61" s="6">
        <f t="shared" si="56"/>
        <v>42.74</v>
      </c>
      <c r="M61" s="2"/>
      <c r="N61" s="7">
        <f t="shared" si="57"/>
        <v>0</v>
      </c>
      <c r="O61" s="11"/>
      <c r="P61" s="6">
        <v>172.98</v>
      </c>
      <c r="Q61" s="2"/>
      <c r="R61" s="7">
        <f t="shared" si="58"/>
        <v>3.5989162056712575E-3</v>
      </c>
      <c r="S61" s="2"/>
      <c r="T61" s="6"/>
      <c r="U61" s="2"/>
      <c r="V61" s="7">
        <f t="shared" si="59"/>
        <v>0</v>
      </c>
      <c r="W61" s="2"/>
      <c r="X61" s="6">
        <f t="shared" si="60"/>
        <v>172.98</v>
      </c>
      <c r="Y61" s="2"/>
      <c r="Z61" s="7">
        <f t="shared" si="61"/>
        <v>0</v>
      </c>
    </row>
    <row r="62" spans="1:26" s="24" customFormat="1" hidden="1" outlineLevel="2" x14ac:dyDescent="0.25">
      <c r="A62" s="29"/>
      <c r="B62" s="11" t="str">
        <f>CONCATENATE("          ", "6247", " - ", "STORE SUPPLIES")</f>
        <v xml:space="preserve">          6247 - STORE SUPPLIES</v>
      </c>
      <c r="C62" s="11"/>
      <c r="D62" s="6">
        <v>206.13</v>
      </c>
      <c r="E62" s="2"/>
      <c r="F62" s="7">
        <f t="shared" si="54"/>
        <v>8.1072088201145937E-3</v>
      </c>
      <c r="G62" s="2"/>
      <c r="H62" s="6"/>
      <c r="I62" s="2"/>
      <c r="J62" s="7">
        <f t="shared" si="55"/>
        <v>0</v>
      </c>
      <c r="K62" s="2"/>
      <c r="L62" s="6">
        <f t="shared" si="56"/>
        <v>206.13</v>
      </c>
      <c r="M62" s="2"/>
      <c r="N62" s="7">
        <f t="shared" si="57"/>
        <v>0</v>
      </c>
      <c r="O62" s="11"/>
      <c r="P62" s="6">
        <v>564.11</v>
      </c>
      <c r="Q62" s="2"/>
      <c r="R62" s="7">
        <f t="shared" si="58"/>
        <v>1.1736528042439664E-2</v>
      </c>
      <c r="S62" s="2"/>
      <c r="T62" s="6"/>
      <c r="U62" s="2"/>
      <c r="V62" s="7">
        <f t="shared" si="59"/>
        <v>0</v>
      </c>
      <c r="W62" s="2"/>
      <c r="X62" s="6">
        <f t="shared" si="60"/>
        <v>564.11</v>
      </c>
      <c r="Y62" s="2"/>
      <c r="Z62" s="7">
        <f t="shared" si="61"/>
        <v>0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-228</v>
      </c>
      <c r="E63" s="1"/>
      <c r="F63" s="5">
        <f t="shared" ref="F63:F66" si="62">IF(D$12=0,0,D63/D$12)</f>
        <v>-8.9673682190177448E-3</v>
      </c>
      <c r="G63" s="1"/>
      <c r="H63" s="1">
        <f>SUM(OSRRefH22_12x_0)</f>
        <v>875.87</v>
      </c>
      <c r="I63" s="1"/>
      <c r="J63" s="5">
        <f t="shared" ref="J63:J66" si="63">IF(H$12=0,0,H63/H$12)</f>
        <v>0</v>
      </c>
      <c r="K63" s="1"/>
      <c r="L63" s="1">
        <f t="shared" ref="L63:L66" si="64">+D63-H63</f>
        <v>-1103.8699999999999</v>
      </c>
      <c r="M63" s="1"/>
      <c r="N63" s="5">
        <f t="shared" ref="N63:N66" si="65">IF(H63=0,0,L63/H63)</f>
        <v>-1.2603126034685512</v>
      </c>
      <c r="O63" s="14"/>
      <c r="P63" s="1">
        <f>SUM(OSRRefP22_12x_0)</f>
        <v>195</v>
      </c>
      <c r="Q63" s="1"/>
      <c r="R63" s="5">
        <f t="shared" ref="R63:R66" si="66">IF(P$12=0,0,P63/P$12)</f>
        <v>4.057050873545469E-3</v>
      </c>
      <c r="S63" s="1"/>
      <c r="T63" s="1">
        <f>SUM(OSRRefT22_12x_0)</f>
        <v>991.87</v>
      </c>
      <c r="U63" s="1"/>
      <c r="V63" s="5">
        <f t="shared" ref="V63:V66" si="67">IF(T$12=0,0,T63/T$12)</f>
        <v>0</v>
      </c>
      <c r="W63" s="1"/>
      <c r="X63" s="1">
        <f t="shared" ref="X63:X66" si="68">+P63-T63</f>
        <v>-796.87</v>
      </c>
      <c r="Y63" s="1"/>
      <c r="Z63" s="5">
        <f t="shared" ref="Z63:Z66" si="69">IF(T63=0,0,X63/T63)</f>
        <v>-0.80340165545888065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6">
        <v>-228</v>
      </c>
      <c r="E64" s="2"/>
      <c r="F64" s="7">
        <f t="shared" si="62"/>
        <v>-8.9673682190177448E-3</v>
      </c>
      <c r="G64" s="2"/>
      <c r="H64" s="6">
        <v>875.87</v>
      </c>
      <c r="I64" s="2"/>
      <c r="J64" s="7">
        <f t="shared" si="63"/>
        <v>0</v>
      </c>
      <c r="K64" s="2"/>
      <c r="L64" s="6">
        <f t="shared" si="64"/>
        <v>-1103.8699999999999</v>
      </c>
      <c r="M64" s="2"/>
      <c r="N64" s="7">
        <f t="shared" si="65"/>
        <v>-1.2603126034685512</v>
      </c>
      <c r="O64" s="11"/>
      <c r="P64" s="6">
        <v>195</v>
      </c>
      <c r="Q64" s="2"/>
      <c r="R64" s="7">
        <f t="shared" si="66"/>
        <v>4.057050873545469E-3</v>
      </c>
      <c r="S64" s="2"/>
      <c r="T64" s="6">
        <v>991.87</v>
      </c>
      <c r="U64" s="2"/>
      <c r="V64" s="7">
        <f t="shared" si="67"/>
        <v>0</v>
      </c>
      <c r="W64" s="2"/>
      <c r="X64" s="6">
        <f t="shared" si="68"/>
        <v>-796.87</v>
      </c>
      <c r="Y64" s="2"/>
      <c r="Z64" s="7">
        <f t="shared" si="69"/>
        <v>-0.80340165545888065</v>
      </c>
    </row>
    <row r="65" spans="1:26" s="28" customFormat="1" outlineLevel="1" collapsed="1" x14ac:dyDescent="0.25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SUM(OSRRefD22_13x_0)</f>
        <v>100</v>
      </c>
      <c r="E65" s="1"/>
      <c r="F65" s="5">
        <f t="shared" si="62"/>
        <v>3.9330562364112915E-3</v>
      </c>
      <c r="G65" s="1"/>
      <c r="H65" s="1">
        <f>SUM(OSRRefH22_13x_0)</f>
        <v>878</v>
      </c>
      <c r="I65" s="1"/>
      <c r="J65" s="5">
        <f t="shared" si="63"/>
        <v>0</v>
      </c>
      <c r="K65" s="1"/>
      <c r="L65" s="1">
        <f t="shared" si="64"/>
        <v>-778</v>
      </c>
      <c r="M65" s="1"/>
      <c r="N65" s="5">
        <f t="shared" si="65"/>
        <v>-0.88610478359908884</v>
      </c>
      <c r="O65" s="14"/>
      <c r="P65" s="1">
        <f>SUM(OSRRefP22_13x_0)</f>
        <v>400</v>
      </c>
      <c r="Q65" s="1"/>
      <c r="R65" s="5">
        <f t="shared" si="66"/>
        <v>8.3221556380419885E-3</v>
      </c>
      <c r="S65" s="1"/>
      <c r="T65" s="1">
        <f>SUM(OSRRefT22_13x_0)</f>
        <v>878</v>
      </c>
      <c r="U65" s="1"/>
      <c r="V65" s="5">
        <f t="shared" si="67"/>
        <v>0</v>
      </c>
      <c r="W65" s="1"/>
      <c r="X65" s="1">
        <f t="shared" si="68"/>
        <v>-478</v>
      </c>
      <c r="Y65" s="1"/>
      <c r="Z65" s="5">
        <f t="shared" si="69"/>
        <v>-0.54441913439635536</v>
      </c>
    </row>
    <row r="66" spans="1:26" s="24" customFormat="1" hidden="1" outlineLevel="2" x14ac:dyDescent="0.25">
      <c r="A66" s="29"/>
      <c r="B66" s="11" t="str">
        <f>CONCATENATE("          ", "6274", " - ", "UTILITIES")</f>
        <v xml:space="preserve">          6274 - UTILITIES</v>
      </c>
      <c r="C66" s="11"/>
      <c r="D66" s="6">
        <v>100</v>
      </c>
      <c r="E66" s="2"/>
      <c r="F66" s="7">
        <f t="shared" si="62"/>
        <v>3.9330562364112915E-3</v>
      </c>
      <c r="G66" s="2"/>
      <c r="H66" s="6">
        <v>878</v>
      </c>
      <c r="I66" s="2"/>
      <c r="J66" s="7">
        <f t="shared" si="63"/>
        <v>0</v>
      </c>
      <c r="K66" s="2"/>
      <c r="L66" s="6">
        <f t="shared" si="64"/>
        <v>-778</v>
      </c>
      <c r="M66" s="2"/>
      <c r="N66" s="7">
        <f t="shared" si="65"/>
        <v>-0.88610478359908884</v>
      </c>
      <c r="O66" s="11"/>
      <c r="P66" s="6">
        <v>400</v>
      </c>
      <c r="Q66" s="2"/>
      <c r="R66" s="7">
        <f t="shared" si="66"/>
        <v>8.3221556380419885E-3</v>
      </c>
      <c r="S66" s="2"/>
      <c r="T66" s="6">
        <v>878</v>
      </c>
      <c r="U66" s="2"/>
      <c r="V66" s="7">
        <f t="shared" si="67"/>
        <v>0</v>
      </c>
      <c r="W66" s="2"/>
      <c r="X66" s="6">
        <f t="shared" si="68"/>
        <v>-478</v>
      </c>
      <c r="Y66" s="2"/>
      <c r="Z66" s="7">
        <f t="shared" si="69"/>
        <v>-0.54441913439635536</v>
      </c>
    </row>
    <row r="67" spans="1:26" s="56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292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276</v>
      </c>
      <c r="C70" s="26"/>
      <c r="D70" s="22">
        <f>+D20-D22+D68</f>
        <v>-5021.320000000007</v>
      </c>
      <c r="E70" s="13"/>
      <c r="F70" s="20">
        <f>IF(D$12=0,0,D70/D$12)</f>
        <v>-0.19749133941016772</v>
      </c>
      <c r="G70" s="13"/>
      <c r="H70" s="22">
        <f>+H20-H22+H68</f>
        <v>-22898.660000000003</v>
      </c>
      <c r="I70" s="13"/>
      <c r="J70" s="20">
        <f>IF(H$12=0,0,H70/H$12)</f>
        <v>0</v>
      </c>
      <c r="K70" s="15"/>
      <c r="L70" s="22">
        <f>+D70-H70</f>
        <v>17877.339999999997</v>
      </c>
      <c r="M70" s="15"/>
      <c r="N70" s="20">
        <f>IF(H70=0,0,L70/H70)</f>
        <v>-0.7807155527878048</v>
      </c>
      <c r="O70" s="25"/>
      <c r="P70" s="22">
        <f>+P20-P22+P68</f>
        <v>-44460.64999999998</v>
      </c>
      <c r="Q70" s="13"/>
      <c r="R70" s="20">
        <f>IF(P$12=0,0,P70/P$12)</f>
        <v>-0.92502112267127834</v>
      </c>
      <c r="S70" s="13"/>
      <c r="T70" s="22">
        <f>+T20-T22+T68</f>
        <v>-57285.720000000008</v>
      </c>
      <c r="U70" s="13"/>
      <c r="V70" s="20">
        <f>IF(T$12=0,0,T70/T$12)</f>
        <v>0</v>
      </c>
      <c r="W70" s="15"/>
      <c r="X70" s="22">
        <f>+P70-T70</f>
        <v>12825.070000000029</v>
      </c>
      <c r="Y70" s="15"/>
      <c r="Z70" s="20">
        <f>IF(T70=0,0,X70/T70)</f>
        <v>-0.22387900509935157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127</v>
      </c>
      <c r="C72" s="10"/>
      <c r="D72" s="4">
        <v>2753.71</v>
      </c>
      <c r="E72" s="4"/>
      <c r="F72" s="12">
        <f>IF(D$12=0,0,D72/D$12)</f>
        <v>0.10830496288768136</v>
      </c>
      <c r="G72" s="4"/>
      <c r="H72" s="4"/>
      <c r="I72" s="4"/>
      <c r="J72" s="12">
        <f>IF(H$12=0,0,H72/H$12)</f>
        <v>0</v>
      </c>
      <c r="K72" s="4"/>
      <c r="L72" s="4">
        <f>+D72-H72</f>
        <v>2753.71</v>
      </c>
      <c r="M72" s="4"/>
      <c r="N72" s="12">
        <f>IF(H72=0,0,L72/H72)</f>
        <v>0</v>
      </c>
      <c r="O72" s="10"/>
      <c r="P72" s="4">
        <v>5555.86</v>
      </c>
      <c r="Q72" s="4"/>
      <c r="R72" s="12">
        <f>IF(P$12=0,0,P72/P$12)</f>
        <v>0.11559182905792989</v>
      </c>
      <c r="S72" s="4"/>
      <c r="T72" s="4"/>
      <c r="U72" s="4"/>
      <c r="V72" s="12">
        <f>IF(T$12=0,0,T72/T$12)</f>
        <v>0</v>
      </c>
      <c r="W72" s="4"/>
      <c r="X72" s="4">
        <f>+P72-T72</f>
        <v>5555.86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125</v>
      </c>
      <c r="C74" s="26"/>
      <c r="D74" s="33">
        <f>+D70-D72</f>
        <v>-7775.030000000007</v>
      </c>
      <c r="E74" s="13"/>
      <c r="F74" s="31">
        <f>IF(D$12=0,0,D74/D$12)</f>
        <v>-0.3057963022978491</v>
      </c>
      <c r="G74" s="13"/>
      <c r="H74" s="33">
        <f>+H70-H72</f>
        <v>-22898.660000000003</v>
      </c>
      <c r="I74" s="13"/>
      <c r="J74" s="31">
        <f>IF(H$12=0,0,H74/H$12)</f>
        <v>0</v>
      </c>
      <c r="K74" s="15"/>
      <c r="L74" s="33">
        <f>D74-H74</f>
        <v>15123.629999999997</v>
      </c>
      <c r="M74" s="15"/>
      <c r="N74" s="31">
        <f>IF(H74=0,0,L74/H74)</f>
        <v>-0.66045917097332307</v>
      </c>
      <c r="O74" s="25"/>
      <c r="P74" s="33">
        <f>+P70-P72</f>
        <v>-50016.50999999998</v>
      </c>
      <c r="Q74" s="13"/>
      <c r="R74" s="31">
        <f>IF(P$12=0,0,P74/P$12)</f>
        <v>-1.0406129517292082</v>
      </c>
      <c r="S74" s="13"/>
      <c r="T74" s="33">
        <f>+T70-T72</f>
        <v>-57285.720000000008</v>
      </c>
      <c r="U74" s="13"/>
      <c r="V74" s="31">
        <f>IF(T$12=0,0,T74/T$12)</f>
        <v>0</v>
      </c>
      <c r="W74" s="15"/>
      <c r="X74" s="33">
        <f>P74-T74</f>
        <v>7269.2100000000282</v>
      </c>
      <c r="Y74" s="15"/>
      <c r="Z74" s="31">
        <f>IF(T74=0,0,X74/T74)</f>
        <v>-0.12689392749187803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293</v>
      </c>
      <c r="C77" s="26"/>
      <c r="D77" s="34">
        <f>SUM(D74:D76)</f>
        <v>-7775.030000000007</v>
      </c>
      <c r="E77" s="13"/>
      <c r="F77" s="30">
        <f>IF(D$12=0,0,D77/D$12)</f>
        <v>-0.3057963022978491</v>
      </c>
      <c r="G77" s="13"/>
      <c r="H77" s="34">
        <f>SUM(H74:H76)</f>
        <v>-22898.660000000003</v>
      </c>
      <c r="I77" s="13"/>
      <c r="J77" s="30">
        <f>IF(H$12=0,0,H77/H$12)</f>
        <v>0</v>
      </c>
      <c r="K77" s="15"/>
      <c r="L77" s="34">
        <f>+D77-H77</f>
        <v>15123.629999999997</v>
      </c>
      <c r="M77" s="15"/>
      <c r="N77" s="30">
        <f>IF(H77=0,0,L77/H77)</f>
        <v>-0.66045917097332307</v>
      </c>
      <c r="O77" s="25"/>
      <c r="P77" s="34">
        <f>SUM(P74:P76)</f>
        <v>-50016.50999999998</v>
      </c>
      <c r="Q77" s="13"/>
      <c r="R77" s="30">
        <f>IF(P$12=0,0,P77/P$12)</f>
        <v>-1.0406129517292082</v>
      </c>
      <c r="S77" s="13"/>
      <c r="T77" s="34">
        <f>SUM(T74:T76)</f>
        <v>-57285.720000000008</v>
      </c>
      <c r="U77" s="13"/>
      <c r="V77" s="30">
        <f>IF(T$12=0,0,T77/T$12)</f>
        <v>0</v>
      </c>
      <c r="W77" s="15"/>
      <c r="X77" s="34">
        <f>+P77-T77</f>
        <v>7269.2100000000282</v>
      </c>
      <c r="Y77" s="15"/>
      <c r="Z77" s="30">
        <f>IF(T77=0,0,X77/T77)</f>
        <v>-0.12689392749187803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61">
        <v>44517.967041516204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7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8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404.53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404.53</v>
      </c>
      <c r="M12" s="4"/>
      <c r="N12" s="12">
        <f t="shared" ref="N12:N14" si="1">IF(H12=0,0,L12/H12)</f>
        <v>0</v>
      </c>
      <c r="O12" s="10"/>
      <c r="P12" s="4">
        <f>SUM(OSRRefP13x_0)</f>
        <v>543.62</v>
      </c>
      <c r="Q12" s="4"/>
      <c r="R12" s="12"/>
      <c r="S12" s="4"/>
      <c r="T12" s="4">
        <f>SUM(OSRRefT13x_0)</f>
        <v>110</v>
      </c>
      <c r="U12" s="4"/>
      <c r="V12" s="12"/>
      <c r="W12" s="4"/>
      <c r="X12" s="4">
        <f t="shared" ref="X12:X14" si="2">+P12-T12</f>
        <v>433.62</v>
      </c>
      <c r="Y12" s="4"/>
      <c r="Z12" s="12">
        <f t="shared" ref="Z12:Z14" si="3">IF(T12=0,0,X12/T12)</f>
        <v>3.9420000000000002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--404.53</f>
        <v>404.53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404.53</v>
      </c>
      <c r="M13" s="2"/>
      <c r="N13" s="19">
        <f t="shared" si="1"/>
        <v>0</v>
      </c>
      <c r="O13" s="11"/>
      <c r="P13" s="2">
        <f>--543.62</f>
        <v>543.62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543.62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--110</f>
        <v>110</v>
      </c>
      <c r="U14" s="2"/>
      <c r="V14" s="19"/>
      <c r="W14" s="2"/>
      <c r="X14" s="2">
        <f t="shared" si="2"/>
        <v>-110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256</v>
      </c>
      <c r="C16" s="10"/>
      <c r="D16" s="4">
        <f>SUM(OSRRefD16x_0)</f>
        <v>-311</v>
      </c>
      <c r="E16" s="4"/>
      <c r="F16" s="12">
        <f t="shared" ref="F16:F18" si="5">IF(D$12=0,0,D16/D$12)</f>
        <v>-0.76879341457988293</v>
      </c>
      <c r="G16" s="4"/>
      <c r="H16" s="4">
        <f>SUM(OSRRefH16x_0)</f>
        <v>0</v>
      </c>
      <c r="I16" s="4"/>
      <c r="J16" s="12">
        <f t="shared" ref="J16:J18" si="6">IF(H$12=0,0,H16/H$12)</f>
        <v>0</v>
      </c>
      <c r="K16" s="4"/>
      <c r="L16" s="4">
        <f t="shared" ref="L16:L18" si="7">+D16-H16</f>
        <v>-311</v>
      </c>
      <c r="M16" s="4"/>
      <c r="N16" s="12">
        <f t="shared" ref="N16:N18" si="8">IF(H16=0,0,L16/H16)</f>
        <v>0</v>
      </c>
      <c r="O16" s="10"/>
      <c r="P16" s="4">
        <f>SUM(OSRRefP16x_0)</f>
        <v>-184.8</v>
      </c>
      <c r="Q16" s="4"/>
      <c r="R16" s="12">
        <f t="shared" ref="R16:R18" si="9">IF(P$12=0,0,P16/P$12)</f>
        <v>-0.33994334277620397</v>
      </c>
      <c r="S16" s="4"/>
      <c r="T16" s="4">
        <f>SUM(OSRRefT16x_0)</f>
        <v>68.91</v>
      </c>
      <c r="U16" s="4"/>
      <c r="V16" s="12">
        <f t="shared" ref="V16:V18" si="10">IF(T$12=0,0,T16/T$12)</f>
        <v>0.62645454545454538</v>
      </c>
      <c r="W16" s="4"/>
      <c r="X16" s="4">
        <f t="shared" ref="X16:X18" si="11">+P16-T16</f>
        <v>-253.71</v>
      </c>
      <c r="Y16" s="4"/>
      <c r="Z16" s="12">
        <f t="shared" ref="Z16:Z18" si="12">IF(T16=0,0,X16/T16)</f>
        <v>-3.6817588158467571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45</v>
      </c>
      <c r="Q17" s="2"/>
      <c r="R17" s="19">
        <f t="shared" si="9"/>
        <v>8.2778411390309406E-2</v>
      </c>
      <c r="S17" s="2"/>
      <c r="T17" s="2"/>
      <c r="U17" s="2"/>
      <c r="V17" s="19">
        <f t="shared" si="10"/>
        <v>0</v>
      </c>
      <c r="W17" s="2"/>
      <c r="X17" s="2">
        <f t="shared" si="11"/>
        <v>45</v>
      </c>
      <c r="Y17" s="2"/>
      <c r="Z17" s="19">
        <f t="shared" si="12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-311</v>
      </c>
      <c r="E18" s="2"/>
      <c r="F18" s="19">
        <f t="shared" si="5"/>
        <v>-0.76879341457988293</v>
      </c>
      <c r="G18" s="2"/>
      <c r="H18" s="2"/>
      <c r="I18" s="2"/>
      <c r="J18" s="19">
        <f t="shared" si="6"/>
        <v>0</v>
      </c>
      <c r="K18" s="2"/>
      <c r="L18" s="2">
        <f t="shared" si="7"/>
        <v>-311</v>
      </c>
      <c r="M18" s="2"/>
      <c r="N18" s="19">
        <f t="shared" si="8"/>
        <v>0</v>
      </c>
      <c r="O18" s="11"/>
      <c r="P18" s="2">
        <v>-229.8</v>
      </c>
      <c r="Q18" s="2"/>
      <c r="R18" s="19">
        <f t="shared" si="9"/>
        <v>-0.42272175416651336</v>
      </c>
      <c r="S18" s="2"/>
      <c r="T18" s="2">
        <v>68.91</v>
      </c>
      <c r="U18" s="2"/>
      <c r="V18" s="19">
        <f t="shared" si="10"/>
        <v>0.62645454545454538</v>
      </c>
      <c r="W18" s="2"/>
      <c r="X18" s="2">
        <f t="shared" si="11"/>
        <v>-298.71000000000004</v>
      </c>
      <c r="Y18" s="2"/>
      <c r="Z18" s="19">
        <f t="shared" si="12"/>
        <v>-4.3347845015237274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107</v>
      </c>
      <c r="C20" s="26"/>
      <c r="D20" s="22">
        <f>D12-D16</f>
        <v>715.53</v>
      </c>
      <c r="E20" s="13"/>
      <c r="F20" s="20">
        <f>IF(D$12=0,0,D20/D$12)</f>
        <v>1.7687934145798829</v>
      </c>
      <c r="G20" s="13"/>
      <c r="H20" s="22">
        <f>H12-H16</f>
        <v>0</v>
      </c>
      <c r="I20" s="13"/>
      <c r="J20" s="20">
        <f>IF(H$12=0,0,H20/H$12)</f>
        <v>0</v>
      </c>
      <c r="K20" s="15"/>
      <c r="L20" s="22">
        <f>+D20-H20</f>
        <v>715.53</v>
      </c>
      <c r="M20" s="15"/>
      <c r="N20" s="20">
        <f>IF(H20=0,0,L20/H20)</f>
        <v>0</v>
      </c>
      <c r="O20" s="25"/>
      <c r="P20" s="22">
        <f>P12-P16</f>
        <v>728.42000000000007</v>
      </c>
      <c r="Q20" s="13"/>
      <c r="R20" s="20">
        <f>IF(P$12=0,0,P20/P$12)</f>
        <v>1.3399433427762042</v>
      </c>
      <c r="S20" s="13"/>
      <c r="T20" s="22">
        <f>T12-T16</f>
        <v>41.09</v>
      </c>
      <c r="U20" s="13"/>
      <c r="V20" s="20">
        <f>IF(T$12=0,0,T20/T$12)</f>
        <v>0.37354545454545457</v>
      </c>
      <c r="W20" s="15"/>
      <c r="X20" s="22">
        <f>+P20-T20</f>
        <v>687.33</v>
      </c>
      <c r="Y20" s="15"/>
      <c r="Z20" s="20">
        <f>IF(T20=0,0,X20/T20)</f>
        <v>16.727427597955707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294</v>
      </c>
      <c r="C22" s="10"/>
      <c r="D22" s="21">
        <f>SUM(OSRRefD22x_0)</f>
        <v>101.4</v>
      </c>
      <c r="E22" s="21"/>
      <c r="F22" s="36">
        <f t="shared" ref="F22:F24" si="13">IF(D$12=0,0,D22/D$12)</f>
        <v>0.25066126121672067</v>
      </c>
      <c r="G22" s="21"/>
      <c r="H22" s="21">
        <f>SUM(OSRRefH22x_0)</f>
        <v>0</v>
      </c>
      <c r="I22" s="21"/>
      <c r="J22" s="36">
        <f t="shared" ref="J22:J24" si="14">IF(H$12=0,0,H22/H$12)</f>
        <v>0</v>
      </c>
      <c r="K22" s="4"/>
      <c r="L22" s="21">
        <f t="shared" ref="L22:L24" si="15">+D22-H22</f>
        <v>101.4</v>
      </c>
      <c r="M22" s="4"/>
      <c r="N22" s="36">
        <f t="shared" ref="N22:N24" si="16">IF(H22=0,0,L22/H22)</f>
        <v>0</v>
      </c>
      <c r="O22" s="10"/>
      <c r="P22" s="21">
        <f>SUM(OSRRefP22x_0)</f>
        <v>274.04000000000002</v>
      </c>
      <c r="Q22" s="21"/>
      <c r="R22" s="36">
        <f t="shared" ref="R22:R24" si="17">IF(P$12=0,0,P22/P$12)</f>
        <v>0.50410213016445315</v>
      </c>
      <c r="S22" s="21"/>
      <c r="T22" s="21">
        <f>SUM(OSRRefT22x_0)</f>
        <v>0</v>
      </c>
      <c r="U22" s="21"/>
      <c r="V22" s="36">
        <f t="shared" ref="V22:V24" si="18">IF(T$12=0,0,T22/T$12)</f>
        <v>0</v>
      </c>
      <c r="W22" s="4"/>
      <c r="X22" s="21">
        <f t="shared" ref="X22:X24" si="19">+P22-T22</f>
        <v>274.04000000000002</v>
      </c>
      <c r="Y22" s="4"/>
      <c r="Z22" s="36">
        <f t="shared" ref="Z22:Z24" si="20">IF(T22=0,0,X22/T22)</f>
        <v>0</v>
      </c>
    </row>
    <row r="23" spans="1:26" s="28" customFormat="1" outlineLevel="1" collapsed="1" x14ac:dyDescent="0.25">
      <c r="A23" s="27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101.4</v>
      </c>
      <c r="E23" s="1"/>
      <c r="F23" s="5">
        <f t="shared" si="13"/>
        <v>0.25066126121672067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101.4</v>
      </c>
      <c r="M23" s="1"/>
      <c r="N23" s="5">
        <f t="shared" si="16"/>
        <v>0</v>
      </c>
      <c r="O23" s="14"/>
      <c r="P23" s="1">
        <f>SUM(OSRRefP22_0x_0)</f>
        <v>274.04000000000002</v>
      </c>
      <c r="Q23" s="1"/>
      <c r="R23" s="5">
        <f t="shared" si="17"/>
        <v>0.50410213016445315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274.04000000000002</v>
      </c>
      <c r="Y23" s="1"/>
      <c r="Z23" s="5">
        <f t="shared" si="20"/>
        <v>0</v>
      </c>
    </row>
    <row r="24" spans="1:26" s="24" customFormat="1" hidden="1" outlineLevel="2" x14ac:dyDescent="0.25">
      <c r="A24" s="29"/>
      <c r="B24" s="11" t="str">
        <f>CONCATENATE("          ", "6381", " - ", "BANK/CREDIT CARD FEES")</f>
        <v xml:space="preserve">          6381 - BANK/CREDIT CARD FEES</v>
      </c>
      <c r="C24" s="11"/>
      <c r="D24" s="6">
        <v>101.4</v>
      </c>
      <c r="E24" s="2"/>
      <c r="F24" s="7">
        <f t="shared" si="13"/>
        <v>0.25066126121672067</v>
      </c>
      <c r="G24" s="2"/>
      <c r="H24" s="6"/>
      <c r="I24" s="2"/>
      <c r="J24" s="7">
        <f t="shared" si="14"/>
        <v>0</v>
      </c>
      <c r="K24" s="2"/>
      <c r="L24" s="6">
        <f t="shared" si="15"/>
        <v>101.4</v>
      </c>
      <c r="M24" s="2"/>
      <c r="N24" s="7">
        <f t="shared" si="16"/>
        <v>0</v>
      </c>
      <c r="O24" s="11"/>
      <c r="P24" s="6">
        <v>274.04000000000002</v>
      </c>
      <c r="Q24" s="2"/>
      <c r="R24" s="7">
        <f t="shared" si="17"/>
        <v>0.50410213016445315</v>
      </c>
      <c r="S24" s="2"/>
      <c r="T24" s="6"/>
      <c r="U24" s="2"/>
      <c r="V24" s="7">
        <f t="shared" si="18"/>
        <v>0</v>
      </c>
      <c r="W24" s="2"/>
      <c r="X24" s="6">
        <f t="shared" si="19"/>
        <v>274.04000000000002</v>
      </c>
      <c r="Y24" s="2"/>
      <c r="Z24" s="7">
        <f t="shared" si="20"/>
        <v>0</v>
      </c>
    </row>
    <row r="25" spans="1:26" s="56" customFormat="1" x14ac:dyDescent="0.25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292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276</v>
      </c>
      <c r="C28" s="26"/>
      <c r="D28" s="22">
        <f>+D20-D22+D26</f>
        <v>614.13</v>
      </c>
      <c r="E28" s="13"/>
      <c r="F28" s="20">
        <f>IF(D$12=0,0,D28/D$12)</f>
        <v>1.5181321533631622</v>
      </c>
      <c r="G28" s="13"/>
      <c r="H28" s="22">
        <f>+H20-H22+H26</f>
        <v>0</v>
      </c>
      <c r="I28" s="13"/>
      <c r="J28" s="20">
        <f>IF(H$12=0,0,H28/H$12)</f>
        <v>0</v>
      </c>
      <c r="K28" s="15"/>
      <c r="L28" s="22">
        <f>+D28-H28</f>
        <v>614.13</v>
      </c>
      <c r="M28" s="15"/>
      <c r="N28" s="20">
        <f>IF(H28=0,0,L28/H28)</f>
        <v>0</v>
      </c>
      <c r="O28" s="25"/>
      <c r="P28" s="22">
        <f>+P20-P22+P26</f>
        <v>454.38000000000005</v>
      </c>
      <c r="Q28" s="13"/>
      <c r="R28" s="20">
        <f>IF(P$12=0,0,P28/P$12)</f>
        <v>0.83584121261175093</v>
      </c>
      <c r="S28" s="13"/>
      <c r="T28" s="22">
        <f>+T20-T22+T26</f>
        <v>41.09</v>
      </c>
      <c r="U28" s="13"/>
      <c r="V28" s="20">
        <f>IF(T$12=0,0,T28/T$12)</f>
        <v>0.37354545454545457</v>
      </c>
      <c r="W28" s="15"/>
      <c r="X28" s="22">
        <f>+P28-T28</f>
        <v>413.29000000000008</v>
      </c>
      <c r="Y28" s="15"/>
      <c r="Z28" s="20">
        <f>IF(T28=0,0,X28/T28)</f>
        <v>10.058165003650524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1"/>
      <c r="B30" s="10" t="s">
        <v>127</v>
      </c>
      <c r="C30" s="10"/>
      <c r="D30" s="4">
        <v>45.62</v>
      </c>
      <c r="E30" s="4"/>
      <c r="F30" s="12">
        <f>IF(D$12=0,0,D30/D$12)</f>
        <v>0.11277284750203941</v>
      </c>
      <c r="G30" s="4"/>
      <c r="H30" s="4">
        <v>3.45</v>
      </c>
      <c r="I30" s="4"/>
      <c r="J30" s="12">
        <f>IF(H$12=0,0,H30/H$12)</f>
        <v>0</v>
      </c>
      <c r="K30" s="4"/>
      <c r="L30" s="4">
        <f>+D30-H30</f>
        <v>42.169999999999995</v>
      </c>
      <c r="M30" s="4"/>
      <c r="N30" s="12">
        <f>IF(H30=0,0,L30/H30)</f>
        <v>12.223188405797099</v>
      </c>
      <c r="O30" s="10"/>
      <c r="P30" s="4">
        <v>62.84</v>
      </c>
      <c r="Q30" s="4"/>
      <c r="R30" s="12">
        <f>IF(P$12=0,0,P30/P$12)</f>
        <v>0.1155954527059343</v>
      </c>
      <c r="S30" s="4"/>
      <c r="T30" s="4">
        <v>23.83</v>
      </c>
      <c r="U30" s="4"/>
      <c r="V30" s="12">
        <f>IF(T$12=0,0,T30/T$12)</f>
        <v>0.21663636363636363</v>
      </c>
      <c r="W30" s="4"/>
      <c r="X30" s="4">
        <f>+P30-T30</f>
        <v>39.010000000000005</v>
      </c>
      <c r="Y30" s="4"/>
      <c r="Z30" s="12">
        <f>IF(T30=0,0,X30/T30)</f>
        <v>1.6370121695342008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125</v>
      </c>
      <c r="C32" s="26"/>
      <c r="D32" s="33">
        <f>+D28-D30</f>
        <v>568.51</v>
      </c>
      <c r="E32" s="13"/>
      <c r="F32" s="31">
        <f>IF(D$12=0,0,D32/D$12)</f>
        <v>1.4053593058611229</v>
      </c>
      <c r="G32" s="13"/>
      <c r="H32" s="33">
        <f>+H28-H30</f>
        <v>-3.45</v>
      </c>
      <c r="I32" s="13"/>
      <c r="J32" s="31">
        <f>IF(H$12=0,0,H32/H$12)</f>
        <v>0</v>
      </c>
      <c r="K32" s="15"/>
      <c r="L32" s="33">
        <f>D32-H32</f>
        <v>571.96</v>
      </c>
      <c r="M32" s="15"/>
      <c r="N32" s="31">
        <f>IF(H32=0,0,L32/H32)</f>
        <v>-165.78550724637682</v>
      </c>
      <c r="O32" s="25"/>
      <c r="P32" s="33">
        <f>+P28-P30</f>
        <v>391.54000000000008</v>
      </c>
      <c r="Q32" s="13"/>
      <c r="R32" s="31">
        <f>IF(P$12=0,0,P32/P$12)</f>
        <v>0.72024575990581674</v>
      </c>
      <c r="S32" s="13"/>
      <c r="T32" s="33">
        <f>+T28-T30</f>
        <v>17.260000000000005</v>
      </c>
      <c r="U32" s="13"/>
      <c r="V32" s="31">
        <f>IF(T$12=0,0,T32/T$12)</f>
        <v>0.15690909090909094</v>
      </c>
      <c r="W32" s="15"/>
      <c r="X32" s="33">
        <f>P32-T32</f>
        <v>374.28000000000009</v>
      </c>
      <c r="Y32" s="15"/>
      <c r="Z32" s="31">
        <f>IF(T32=0,0,X32/T32)</f>
        <v>21.684820393974505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293</v>
      </c>
      <c r="C35" s="26"/>
      <c r="D35" s="34">
        <f>SUM(D32:D34)</f>
        <v>568.51</v>
      </c>
      <c r="E35" s="13"/>
      <c r="F35" s="30">
        <f>IF(D$12=0,0,D35/D$12)</f>
        <v>1.4053593058611229</v>
      </c>
      <c r="G35" s="13"/>
      <c r="H35" s="34">
        <f>SUM(H32:H34)</f>
        <v>-3.45</v>
      </c>
      <c r="I35" s="13"/>
      <c r="J35" s="30">
        <f>IF(H$12=0,0,H35/H$12)</f>
        <v>0</v>
      </c>
      <c r="K35" s="15"/>
      <c r="L35" s="34">
        <f>+D35-H35</f>
        <v>571.96</v>
      </c>
      <c r="M35" s="15"/>
      <c r="N35" s="30">
        <f>IF(H35=0,0,L35/H35)</f>
        <v>-165.78550724637682</v>
      </c>
      <c r="O35" s="25"/>
      <c r="P35" s="34">
        <f>SUM(P32:P34)</f>
        <v>391.54000000000008</v>
      </c>
      <c r="Q35" s="13"/>
      <c r="R35" s="30">
        <f>IF(P$12=0,0,P35/P$12)</f>
        <v>0.72024575990581674</v>
      </c>
      <c r="S35" s="13"/>
      <c r="T35" s="34">
        <f>SUM(T32:T34)</f>
        <v>17.260000000000005</v>
      </c>
      <c r="U35" s="13"/>
      <c r="V35" s="30">
        <f>IF(T$12=0,0,T35/T$12)</f>
        <v>0.15690909090909094</v>
      </c>
      <c r="W35" s="15"/>
      <c r="X35" s="34">
        <f>+P35-T35</f>
        <v>374.28000000000009</v>
      </c>
      <c r="Y35" s="15"/>
      <c r="Z35" s="30">
        <f>IF(T35=0,0,X35/T35)</f>
        <v>21.684820393974505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61">
        <v>44517.967041516204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s">
        <v>56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8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1790638.6</v>
      </c>
      <c r="E12" s="4"/>
      <c r="F12" s="12"/>
      <c r="G12" s="4"/>
      <c r="H12" s="4">
        <f>SUM(OSRRefH13x_0)</f>
        <v>195671.71999999997</v>
      </c>
      <c r="I12" s="4"/>
      <c r="J12" s="12"/>
      <c r="K12" s="4"/>
      <c r="L12" s="4">
        <f t="shared" ref="L12:L18" si="0">+D12-H12</f>
        <v>1594966.8800000001</v>
      </c>
      <c r="M12" s="4"/>
      <c r="N12" s="12">
        <f t="shared" ref="N12:N18" si="1">IF(H12=0,0,L12/H12)</f>
        <v>8.1512386153706853</v>
      </c>
      <c r="O12" s="10"/>
      <c r="P12" s="4">
        <f>SUM(OSRRefP13x_0)</f>
        <v>3925590.65</v>
      </c>
      <c r="Q12" s="4"/>
      <c r="R12" s="12"/>
      <c r="S12" s="4"/>
      <c r="T12" s="4">
        <f>SUM(OSRRefT13x_0)</f>
        <v>501554.2</v>
      </c>
      <c r="U12" s="4"/>
      <c r="V12" s="12"/>
      <c r="W12" s="4"/>
      <c r="X12" s="4">
        <f t="shared" ref="X12:X18" si="2">+P12-T12</f>
        <v>3424036.4499999997</v>
      </c>
      <c r="Y12" s="4"/>
      <c r="Z12" s="12">
        <f t="shared" ref="Z12:Z18" si="3">IF(T12=0,0,X12/T12)</f>
        <v>6.8268523122725311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--39274.26</f>
        <v>39274.26</v>
      </c>
      <c r="E13" s="2"/>
      <c r="F13" s="19"/>
      <c r="G13" s="2"/>
      <c r="H13" s="2">
        <f>--6097.26</f>
        <v>6097.26</v>
      </c>
      <c r="I13" s="2"/>
      <c r="J13" s="19"/>
      <c r="K13" s="2"/>
      <c r="L13" s="2">
        <f t="shared" si="0"/>
        <v>33177</v>
      </c>
      <c r="M13" s="2"/>
      <c r="N13" s="19">
        <f t="shared" si="1"/>
        <v>5.4412965823993069</v>
      </c>
      <c r="O13" s="11"/>
      <c r="P13" s="2">
        <f>--104250.57</f>
        <v>104250.57</v>
      </c>
      <c r="Q13" s="2"/>
      <c r="R13" s="19"/>
      <c r="S13" s="2"/>
      <c r="T13" s="2">
        <f>--12749.94</f>
        <v>12749.94</v>
      </c>
      <c r="U13" s="2"/>
      <c r="V13" s="19"/>
      <c r="W13" s="2"/>
      <c r="X13" s="2">
        <f t="shared" si="2"/>
        <v>91500.63</v>
      </c>
      <c r="Y13" s="2"/>
      <c r="Z13" s="19">
        <f t="shared" si="3"/>
        <v>7.1765537720177504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--30231.29</f>
        <v>30231.29</v>
      </c>
      <c r="I14" s="2"/>
      <c r="J14" s="19"/>
      <c r="K14" s="2"/>
      <c r="L14" s="2">
        <f t="shared" si="0"/>
        <v>-30231.29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--30231.29</f>
        <v>30231.29</v>
      </c>
      <c r="U14" s="2"/>
      <c r="V14" s="19"/>
      <c r="W14" s="2"/>
      <c r="X14" s="2">
        <f t="shared" si="2"/>
        <v>-30231.29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--4910.57</f>
        <v>4910.57</v>
      </c>
      <c r="E15" s="2"/>
      <c r="F15" s="19"/>
      <c r="G15" s="2"/>
      <c r="H15" s="2">
        <f t="shared" ref="H15:H16" si="4">0</f>
        <v>0</v>
      </c>
      <c r="I15" s="2"/>
      <c r="J15" s="19"/>
      <c r="K15" s="2"/>
      <c r="L15" s="2">
        <f t="shared" si="0"/>
        <v>4910.57</v>
      </c>
      <c r="M15" s="2"/>
      <c r="N15" s="19">
        <f t="shared" si="1"/>
        <v>0</v>
      </c>
      <c r="O15" s="11"/>
      <c r="P15" s="2">
        <f>--6045.5</f>
        <v>6045.5</v>
      </c>
      <c r="Q15" s="2"/>
      <c r="R15" s="19"/>
      <c r="S15" s="2"/>
      <c r="T15" s="2">
        <f>--402.44</f>
        <v>402.44</v>
      </c>
      <c r="U15" s="2"/>
      <c r="V15" s="19"/>
      <c r="W15" s="2"/>
      <c r="X15" s="2">
        <f t="shared" si="2"/>
        <v>5643.06</v>
      </c>
      <c r="Y15" s="2"/>
      <c r="Z15" s="19">
        <f t="shared" si="3"/>
        <v>14.022115097902795</v>
      </c>
    </row>
    <row r="16" spans="1:26" s="24" customFormat="1" hidden="1" outlineLevel="1" x14ac:dyDescent="0.25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--1734326.4</f>
        <v>1734326.4</v>
      </c>
      <c r="E17" s="2"/>
      <c r="F17" s="19"/>
      <c r="G17" s="2"/>
      <c r="H17" s="2">
        <f>--173820.37</f>
        <v>173820.37</v>
      </c>
      <c r="I17" s="2"/>
      <c r="J17" s="19"/>
      <c r="K17" s="2"/>
      <c r="L17" s="2">
        <f t="shared" si="0"/>
        <v>1560506.0299999998</v>
      </c>
      <c r="M17" s="2"/>
      <c r="N17" s="19">
        <f t="shared" si="1"/>
        <v>8.9776936385534096</v>
      </c>
      <c r="O17" s="11"/>
      <c r="P17" s="2">
        <f>--3770889.88</f>
        <v>3770889.88</v>
      </c>
      <c r="Q17" s="2"/>
      <c r="R17" s="19"/>
      <c r="S17" s="2"/>
      <c r="T17" s="2">
        <f>--441429.04</f>
        <v>441429.04</v>
      </c>
      <c r="U17" s="2"/>
      <c r="V17" s="19"/>
      <c r="W17" s="2"/>
      <c r="X17" s="2">
        <f t="shared" si="2"/>
        <v>3329460.84</v>
      </c>
      <c r="Y17" s="2"/>
      <c r="Z17" s="19">
        <f t="shared" si="3"/>
        <v>7.5424599160943284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--12127.37</f>
        <v>12127.37</v>
      </c>
      <c r="E18" s="2"/>
      <c r="F18" s="19"/>
      <c r="G18" s="2"/>
      <c r="H18" s="2">
        <f>-14477.2</f>
        <v>-14477.2</v>
      </c>
      <c r="I18" s="2"/>
      <c r="J18" s="19"/>
      <c r="K18" s="2"/>
      <c r="L18" s="2">
        <f t="shared" si="0"/>
        <v>26604.57</v>
      </c>
      <c r="M18" s="2"/>
      <c r="N18" s="19">
        <f t="shared" si="1"/>
        <v>-1.8376875362639182</v>
      </c>
      <c r="O18" s="11"/>
      <c r="P18" s="2">
        <f>--44404.7</f>
        <v>44404.7</v>
      </c>
      <c r="Q18" s="2"/>
      <c r="R18" s="19"/>
      <c r="S18" s="2"/>
      <c r="T18" s="2">
        <f>--15766.58</f>
        <v>15766.58</v>
      </c>
      <c r="U18" s="2"/>
      <c r="V18" s="19"/>
      <c r="W18" s="2"/>
      <c r="X18" s="2">
        <f t="shared" si="2"/>
        <v>28638.119999999995</v>
      </c>
      <c r="Y18" s="2"/>
      <c r="Z18" s="19">
        <f t="shared" si="3"/>
        <v>1.8163812316938737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256</v>
      </c>
      <c r="C20" s="10"/>
      <c r="D20" s="4">
        <f>SUM(OSRRefD16x_0)</f>
        <v>524747.68000000005</v>
      </c>
      <c r="E20" s="4"/>
      <c r="F20" s="12">
        <f t="shared" ref="F20:F22" si="5">IF(D$12=0,0,D20/D$12)</f>
        <v>0.29305057983224536</v>
      </c>
      <c r="G20" s="4"/>
      <c r="H20" s="4">
        <f>SUM(OSRRefH16x_0)</f>
        <v>79382</v>
      </c>
      <c r="I20" s="4"/>
      <c r="J20" s="12">
        <f t="shared" ref="J20:J22" si="6">IF(H$12=0,0,H20/H$12)</f>
        <v>0.40568969292036688</v>
      </c>
      <c r="K20" s="4"/>
      <c r="L20" s="4">
        <f t="shared" ref="L20:L22" si="7">+D20-H20</f>
        <v>445365.68000000005</v>
      </c>
      <c r="M20" s="4"/>
      <c r="N20" s="12">
        <f t="shared" ref="N20:N22" si="8">IF(H20=0,0,L20/H20)</f>
        <v>5.6104114282834905</v>
      </c>
      <c r="O20" s="10"/>
      <c r="P20" s="4">
        <f>SUM(OSRRefP16x_0)</f>
        <v>1144330.21</v>
      </c>
      <c r="Q20" s="4"/>
      <c r="R20" s="12">
        <f t="shared" ref="R20:R22" si="9">IF(P$12=0,0,P20/P$12)</f>
        <v>0.29150523119368038</v>
      </c>
      <c r="S20" s="4"/>
      <c r="T20" s="4">
        <f>SUM(OSRRefT16x_0)</f>
        <v>186807.24</v>
      </c>
      <c r="U20" s="4"/>
      <c r="V20" s="12">
        <f t="shared" ref="V20:V22" si="10">IF(T$12=0,0,T20/T$12)</f>
        <v>0.37245673548342328</v>
      </c>
      <c r="W20" s="4"/>
      <c r="X20" s="4">
        <f t="shared" ref="X20:X22" si="11">+P20-T20</f>
        <v>957522.97</v>
      </c>
      <c r="Y20" s="4"/>
      <c r="Z20" s="12">
        <f t="shared" ref="Z20:Z22" si="12">IF(T20=0,0,X20/T20)</f>
        <v>5.1257273005050559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514182.2</v>
      </c>
      <c r="E21" s="2"/>
      <c r="F21" s="19">
        <f t="shared" si="5"/>
        <v>0.28715018206353865</v>
      </c>
      <c r="G21" s="2"/>
      <c r="H21" s="2">
        <v>65171.1</v>
      </c>
      <c r="I21" s="2"/>
      <c r="J21" s="19">
        <f t="shared" si="6"/>
        <v>0.33306345955358296</v>
      </c>
      <c r="K21" s="2"/>
      <c r="L21" s="2">
        <f t="shared" si="7"/>
        <v>449011.10000000003</v>
      </c>
      <c r="M21" s="2"/>
      <c r="N21" s="19">
        <f t="shared" si="8"/>
        <v>6.8897271950296997</v>
      </c>
      <c r="O21" s="11"/>
      <c r="P21" s="2">
        <v>1207094.1299999999</v>
      </c>
      <c r="Q21" s="2"/>
      <c r="R21" s="19">
        <f t="shared" si="9"/>
        <v>0.30749363283713749</v>
      </c>
      <c r="S21" s="2"/>
      <c r="T21" s="2">
        <v>195536.86</v>
      </c>
      <c r="U21" s="2"/>
      <c r="V21" s="19">
        <f t="shared" si="10"/>
        <v>0.38986187335286993</v>
      </c>
      <c r="W21" s="2"/>
      <c r="X21" s="2">
        <f t="shared" si="11"/>
        <v>1011557.2699999999</v>
      </c>
      <c r="Y21" s="2"/>
      <c r="Z21" s="19">
        <f t="shared" si="12"/>
        <v>5.1732306123766127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10565.48</v>
      </c>
      <c r="E22" s="2"/>
      <c r="F22" s="19">
        <f t="shared" si="5"/>
        <v>5.9003977687066495E-3</v>
      </c>
      <c r="G22" s="2"/>
      <c r="H22" s="2">
        <v>14210.9</v>
      </c>
      <c r="I22" s="2"/>
      <c r="J22" s="19">
        <f t="shared" si="6"/>
        <v>7.2626233366783921E-2</v>
      </c>
      <c r="K22" s="2"/>
      <c r="L22" s="2">
        <f t="shared" si="7"/>
        <v>-3645.42</v>
      </c>
      <c r="M22" s="2"/>
      <c r="N22" s="19">
        <f t="shared" si="8"/>
        <v>-0.25652280995573823</v>
      </c>
      <c r="O22" s="11"/>
      <c r="P22" s="2">
        <v>-62763.92</v>
      </c>
      <c r="Q22" s="2"/>
      <c r="R22" s="19">
        <f t="shared" si="9"/>
        <v>-1.5988401643457145E-2</v>
      </c>
      <c r="S22" s="2"/>
      <c r="T22" s="2">
        <v>-8729.6200000000008</v>
      </c>
      <c r="U22" s="2"/>
      <c r="V22" s="19">
        <f t="shared" si="10"/>
        <v>-1.7405137869446613E-2</v>
      </c>
      <c r="W22" s="2"/>
      <c r="X22" s="2">
        <f t="shared" si="11"/>
        <v>-54034.299999999996</v>
      </c>
      <c r="Y22" s="2"/>
      <c r="Z22" s="19">
        <f t="shared" si="12"/>
        <v>6.1897654193424216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107</v>
      </c>
      <c r="C24" s="26"/>
      <c r="D24" s="22">
        <f>D12-D20</f>
        <v>1265890.92</v>
      </c>
      <c r="E24" s="13"/>
      <c r="F24" s="20">
        <f>IF(D$12=0,0,D24/D$12)</f>
        <v>0.70694942016775464</v>
      </c>
      <c r="G24" s="13"/>
      <c r="H24" s="22">
        <f>H12-H20</f>
        <v>116289.71999999997</v>
      </c>
      <c r="I24" s="13"/>
      <c r="J24" s="20">
        <f>IF(H$12=0,0,H24/H$12)</f>
        <v>0.59431030707963306</v>
      </c>
      <c r="K24" s="15"/>
      <c r="L24" s="22">
        <f>+D24-H24</f>
        <v>1149601.2</v>
      </c>
      <c r="M24" s="15"/>
      <c r="N24" s="20">
        <f>IF(H24=0,0,L24/H24)</f>
        <v>9.8856648721830283</v>
      </c>
      <c r="O24" s="25"/>
      <c r="P24" s="22">
        <f>P12-P20</f>
        <v>2781260.44</v>
      </c>
      <c r="Q24" s="13"/>
      <c r="R24" s="20">
        <f>IF(P$12=0,0,P24/P$12)</f>
        <v>0.70849476880631967</v>
      </c>
      <c r="S24" s="13"/>
      <c r="T24" s="22">
        <f>T12-T20</f>
        <v>314746.96000000002</v>
      </c>
      <c r="U24" s="13"/>
      <c r="V24" s="20">
        <f>IF(T$12=0,0,T24/T$12)</f>
        <v>0.62754326451657672</v>
      </c>
      <c r="W24" s="15"/>
      <c r="X24" s="22">
        <f>+P24-T24</f>
        <v>2466513.48</v>
      </c>
      <c r="Y24" s="15"/>
      <c r="Z24" s="20">
        <f>IF(T24=0,0,X24/T24)</f>
        <v>7.8364965939623366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294</v>
      </c>
      <c r="C26" s="10"/>
      <c r="D26" s="21">
        <f>SUM(OSRRefD22x_0)</f>
        <v>961020.02000000025</v>
      </c>
      <c r="E26" s="21"/>
      <c r="F26" s="36">
        <f t="shared" ref="F26:F36" si="13">IF(D$12=0,0,D26/D$12)</f>
        <v>0.5366912228966807</v>
      </c>
      <c r="G26" s="21"/>
      <c r="H26" s="21">
        <f>SUM(OSRRefH22x_0)</f>
        <v>405482.78</v>
      </c>
      <c r="I26" s="21"/>
      <c r="J26" s="36">
        <f t="shared" ref="J26:J36" si="14">IF(H$12=0,0,H26/H$12)</f>
        <v>2.0722605187913721</v>
      </c>
      <c r="K26" s="4"/>
      <c r="L26" s="21">
        <f t="shared" ref="L26:L36" si="15">+D26-H26</f>
        <v>555537.24000000022</v>
      </c>
      <c r="M26" s="4"/>
      <c r="N26" s="36">
        <f t="shared" ref="N26:N36" si="16">IF(H26=0,0,L26/H26)</f>
        <v>1.3700637052947111</v>
      </c>
      <c r="O26" s="10"/>
      <c r="P26" s="21">
        <f>SUM(OSRRefP22x_0)</f>
        <v>2490001.1199999996</v>
      </c>
      <c r="Q26" s="21"/>
      <c r="R26" s="36">
        <f t="shared" ref="R26:R36" si="17">IF(P$12=0,0,P26/P$12)</f>
        <v>0.63429973779869275</v>
      </c>
      <c r="S26" s="21"/>
      <c r="T26" s="21">
        <f>SUM(OSRRefT22x_0)</f>
        <v>1361191.47</v>
      </c>
      <c r="U26" s="21"/>
      <c r="V26" s="36">
        <f t="shared" ref="V26:V36" si="18">IF(T$12=0,0,T26/T$12)</f>
        <v>2.7139469074329354</v>
      </c>
      <c r="W26" s="4"/>
      <c r="X26" s="21">
        <f t="shared" ref="X26:X36" si="19">+P26-T26</f>
        <v>1128809.6499999997</v>
      </c>
      <c r="Y26" s="4"/>
      <c r="Z26" s="36">
        <f t="shared" ref="Z26:Z36" si="20">IF(T26=0,0,X26/T26)</f>
        <v>0.8292805787271057</v>
      </c>
    </row>
    <row r="27" spans="1:26" s="28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142505.12</v>
      </c>
      <c r="E27" s="1"/>
      <c r="F27" s="5">
        <f t="shared" si="13"/>
        <v>7.9583406724282602E-2</v>
      </c>
      <c r="G27" s="1"/>
      <c r="H27" s="1">
        <f>SUM(OSRRefH22_0x_0)</f>
        <v>109909.59</v>
      </c>
      <c r="I27" s="1"/>
      <c r="J27" s="5">
        <f t="shared" si="14"/>
        <v>0.56170401118771796</v>
      </c>
      <c r="K27" s="1"/>
      <c r="L27" s="1">
        <f t="shared" si="15"/>
        <v>32595.53</v>
      </c>
      <c r="M27" s="1"/>
      <c r="N27" s="5">
        <f t="shared" si="16"/>
        <v>0.29656675090863316</v>
      </c>
      <c r="O27" s="14"/>
      <c r="P27" s="1">
        <f>SUM(OSRRefP22_0x_0)</f>
        <v>455171.88</v>
      </c>
      <c r="Q27" s="1"/>
      <c r="R27" s="5">
        <f t="shared" si="17"/>
        <v>0.11594990934676289</v>
      </c>
      <c r="S27" s="1"/>
      <c r="T27" s="1">
        <f>SUM(OSRRefT22_0x_0)</f>
        <v>398867.56</v>
      </c>
      <c r="U27" s="1"/>
      <c r="V27" s="5">
        <f t="shared" si="18"/>
        <v>0.79526312410503186</v>
      </c>
      <c r="W27" s="1"/>
      <c r="X27" s="1">
        <f t="shared" si="19"/>
        <v>56304.320000000007</v>
      </c>
      <c r="Y27" s="1"/>
      <c r="Z27" s="5">
        <f t="shared" si="20"/>
        <v>0.14116043931975819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6">
        <v>25526.19</v>
      </c>
      <c r="E28" s="2"/>
      <c r="F28" s="7">
        <f t="shared" si="13"/>
        <v>1.4255355603302641E-2</v>
      </c>
      <c r="G28" s="2"/>
      <c r="H28" s="6">
        <v>17524.48</v>
      </c>
      <c r="I28" s="2"/>
      <c r="J28" s="7">
        <f t="shared" si="14"/>
        <v>8.9560617139768595E-2</v>
      </c>
      <c r="K28" s="2"/>
      <c r="L28" s="6">
        <f t="shared" si="15"/>
        <v>8001.7099999999991</v>
      </c>
      <c r="M28" s="2"/>
      <c r="N28" s="7">
        <f t="shared" si="16"/>
        <v>0.45660185066832221</v>
      </c>
      <c r="O28" s="11"/>
      <c r="P28" s="6">
        <v>67339.960000000006</v>
      </c>
      <c r="Q28" s="2"/>
      <c r="R28" s="7">
        <f t="shared" si="17"/>
        <v>1.7154096288669325E-2</v>
      </c>
      <c r="S28" s="2"/>
      <c r="T28" s="6">
        <v>46530.55</v>
      </c>
      <c r="U28" s="2"/>
      <c r="V28" s="7">
        <f t="shared" si="18"/>
        <v>9.2772725260799341E-2</v>
      </c>
      <c r="W28" s="2"/>
      <c r="X28" s="6">
        <f t="shared" si="19"/>
        <v>20809.410000000003</v>
      </c>
      <c r="Y28" s="2"/>
      <c r="Z28" s="7">
        <f t="shared" si="20"/>
        <v>0.44722037457111513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6">
        <v>15861.43</v>
      </c>
      <c r="E29" s="2"/>
      <c r="F29" s="7">
        <f t="shared" si="13"/>
        <v>8.8579739094198015E-3</v>
      </c>
      <c r="G29" s="2"/>
      <c r="H29" s="6">
        <v>5487.9</v>
      </c>
      <c r="I29" s="2"/>
      <c r="J29" s="7">
        <f t="shared" si="14"/>
        <v>2.8046464762511415E-2</v>
      </c>
      <c r="K29" s="2"/>
      <c r="L29" s="6">
        <f t="shared" si="15"/>
        <v>10373.530000000001</v>
      </c>
      <c r="M29" s="2"/>
      <c r="N29" s="7">
        <f t="shared" si="16"/>
        <v>1.8902549244701983</v>
      </c>
      <c r="O29" s="11"/>
      <c r="P29" s="6">
        <v>35985.660000000003</v>
      </c>
      <c r="Q29" s="2"/>
      <c r="R29" s="7">
        <f t="shared" si="17"/>
        <v>9.1669415403768609E-3</v>
      </c>
      <c r="S29" s="2"/>
      <c r="T29" s="6">
        <v>20204.73</v>
      </c>
      <c r="U29" s="2"/>
      <c r="V29" s="7">
        <f t="shared" si="18"/>
        <v>4.0284240466932582E-2</v>
      </c>
      <c r="W29" s="2"/>
      <c r="X29" s="6">
        <f t="shared" si="19"/>
        <v>15780.930000000004</v>
      </c>
      <c r="Y29" s="2"/>
      <c r="Z29" s="7">
        <f t="shared" si="20"/>
        <v>0.78105126868807473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6">
        <v>54891.82</v>
      </c>
      <c r="E30" s="2"/>
      <c r="F30" s="7">
        <f t="shared" si="13"/>
        <v>3.0654884799199568E-2</v>
      </c>
      <c r="G30" s="2"/>
      <c r="H30" s="6">
        <v>54369.27</v>
      </c>
      <c r="I30" s="2"/>
      <c r="J30" s="7">
        <f t="shared" si="14"/>
        <v>0.2778596212063757</v>
      </c>
      <c r="K30" s="2"/>
      <c r="L30" s="6">
        <f t="shared" si="15"/>
        <v>522.55000000000291</v>
      </c>
      <c r="M30" s="2"/>
      <c r="N30" s="7">
        <f t="shared" si="16"/>
        <v>9.6111277565434101E-3</v>
      </c>
      <c r="O30" s="11"/>
      <c r="P30" s="6">
        <v>219501.65</v>
      </c>
      <c r="Q30" s="2"/>
      <c r="R30" s="7">
        <f t="shared" si="17"/>
        <v>5.591557285780676E-2</v>
      </c>
      <c r="S30" s="2"/>
      <c r="T30" s="6">
        <v>219785.22</v>
      </c>
      <c r="U30" s="2"/>
      <c r="V30" s="7">
        <f t="shared" si="18"/>
        <v>0.43820831327900356</v>
      </c>
      <c r="W30" s="2"/>
      <c r="X30" s="6">
        <f t="shared" si="19"/>
        <v>-283.57000000000698</v>
      </c>
      <c r="Y30" s="2"/>
      <c r="Z30" s="7">
        <f t="shared" si="20"/>
        <v>-1.2902141463379884E-3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6">
        <v>1189.1199999999999</v>
      </c>
      <c r="E31" s="2"/>
      <c r="F31" s="7">
        <f t="shared" si="13"/>
        <v>6.6407593358034386E-4</v>
      </c>
      <c r="G31" s="2"/>
      <c r="H31" s="6">
        <v>373.89</v>
      </c>
      <c r="I31" s="2"/>
      <c r="J31" s="7">
        <f t="shared" si="14"/>
        <v>1.9108024399233576E-3</v>
      </c>
      <c r="K31" s="2"/>
      <c r="L31" s="6">
        <f t="shared" si="15"/>
        <v>815.2299999999999</v>
      </c>
      <c r="M31" s="2"/>
      <c r="N31" s="7">
        <f t="shared" si="16"/>
        <v>2.1804006525983577</v>
      </c>
      <c r="O31" s="11"/>
      <c r="P31" s="6">
        <v>2730.58</v>
      </c>
      <c r="Q31" s="2"/>
      <c r="R31" s="7">
        <f t="shared" si="17"/>
        <v>6.9558449758382219E-4</v>
      </c>
      <c r="S31" s="2"/>
      <c r="T31" s="6">
        <v>1482.88</v>
      </c>
      <c r="U31" s="2"/>
      <c r="V31" s="7">
        <f t="shared" si="18"/>
        <v>2.9565697984385336E-3</v>
      </c>
      <c r="W31" s="2"/>
      <c r="X31" s="6">
        <f t="shared" si="19"/>
        <v>1247.6999999999998</v>
      </c>
      <c r="Y31" s="2"/>
      <c r="Z31" s="7">
        <f t="shared" si="20"/>
        <v>0.84140321536469553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6">
        <v>10630.59</v>
      </c>
      <c r="E32" s="2"/>
      <c r="F32" s="7">
        <f t="shared" si="13"/>
        <v>5.9367590981228707E-3</v>
      </c>
      <c r="G32" s="2"/>
      <c r="H32" s="6">
        <v>6014.35</v>
      </c>
      <c r="I32" s="2"/>
      <c r="J32" s="7">
        <f t="shared" si="14"/>
        <v>3.07369404224586E-2</v>
      </c>
      <c r="K32" s="2"/>
      <c r="L32" s="6">
        <f t="shared" si="15"/>
        <v>4616.24</v>
      </c>
      <c r="M32" s="2"/>
      <c r="N32" s="7">
        <f t="shared" si="16"/>
        <v>0.76753763914637485</v>
      </c>
      <c r="O32" s="11"/>
      <c r="P32" s="6">
        <v>31328.63</v>
      </c>
      <c r="Q32" s="2"/>
      <c r="R32" s="7">
        <f t="shared" si="17"/>
        <v>7.9806156049408768E-3</v>
      </c>
      <c r="S32" s="2"/>
      <c r="T32" s="6">
        <v>28707.97</v>
      </c>
      <c r="U32" s="2"/>
      <c r="V32" s="7">
        <f t="shared" si="18"/>
        <v>5.7238021334483892E-2</v>
      </c>
      <c r="W32" s="2"/>
      <c r="X32" s="6">
        <f t="shared" si="19"/>
        <v>2620.66</v>
      </c>
      <c r="Y32" s="2"/>
      <c r="Z32" s="7">
        <f t="shared" si="20"/>
        <v>9.1286844733361489E-2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1868.11</v>
      </c>
      <c r="E33" s="2"/>
      <c r="F33" s="7">
        <f t="shared" si="13"/>
        <v>1.043264676635475E-3</v>
      </c>
      <c r="G33" s="2"/>
      <c r="H33" s="6">
        <v>1396.69</v>
      </c>
      <c r="I33" s="2"/>
      <c r="J33" s="7">
        <f t="shared" si="14"/>
        <v>7.1379246832398687E-3</v>
      </c>
      <c r="K33" s="2"/>
      <c r="L33" s="6">
        <f t="shared" si="15"/>
        <v>471.41999999999985</v>
      </c>
      <c r="M33" s="2"/>
      <c r="N33" s="7">
        <f t="shared" si="16"/>
        <v>0.33752658070151559</v>
      </c>
      <c r="O33" s="11"/>
      <c r="P33" s="6">
        <v>6485.41</v>
      </c>
      <c r="Q33" s="2"/>
      <c r="R33" s="7">
        <f t="shared" si="17"/>
        <v>1.6520851454544809E-3</v>
      </c>
      <c r="S33" s="2"/>
      <c r="T33" s="6">
        <v>6266.31</v>
      </c>
      <c r="U33" s="2"/>
      <c r="V33" s="7">
        <f t="shared" si="18"/>
        <v>1.2493784320817172E-2</v>
      </c>
      <c r="W33" s="2"/>
      <c r="X33" s="6">
        <f t="shared" si="19"/>
        <v>219.09999999999945</v>
      </c>
      <c r="Y33" s="2"/>
      <c r="Z33" s="7">
        <f t="shared" si="20"/>
        <v>3.4964755972813254E-2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6">
        <v>14584.64</v>
      </c>
      <c r="E34" s="2"/>
      <c r="F34" s="7">
        <f t="shared" si="13"/>
        <v>8.144937789233404E-3</v>
      </c>
      <c r="G34" s="2"/>
      <c r="H34" s="6">
        <v>12908.82</v>
      </c>
      <c r="I34" s="2"/>
      <c r="J34" s="7">
        <f t="shared" si="14"/>
        <v>6.5971822601651381E-2</v>
      </c>
      <c r="K34" s="2"/>
      <c r="L34" s="6">
        <f t="shared" si="15"/>
        <v>1675.8199999999997</v>
      </c>
      <c r="M34" s="2"/>
      <c r="N34" s="7">
        <f t="shared" si="16"/>
        <v>0.12981976664017314</v>
      </c>
      <c r="O34" s="11"/>
      <c r="P34" s="6">
        <v>43388.76</v>
      </c>
      <c r="Q34" s="2"/>
      <c r="R34" s="7">
        <f t="shared" si="17"/>
        <v>1.1052797876416382E-2</v>
      </c>
      <c r="S34" s="2"/>
      <c r="T34" s="6">
        <v>38330.199999999997</v>
      </c>
      <c r="U34" s="2"/>
      <c r="V34" s="7">
        <f t="shared" si="18"/>
        <v>7.6422847221696066E-2</v>
      </c>
      <c r="W34" s="2"/>
      <c r="X34" s="6">
        <f t="shared" si="19"/>
        <v>5058.5600000000049</v>
      </c>
      <c r="Y34" s="2"/>
      <c r="Z34" s="7">
        <f t="shared" si="20"/>
        <v>0.13197322215902879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6">
        <v>10591.47</v>
      </c>
      <c r="E35" s="2"/>
      <c r="F35" s="7">
        <f t="shared" si="13"/>
        <v>5.9149121436341198E-3</v>
      </c>
      <c r="G35" s="2"/>
      <c r="H35" s="6">
        <v>8065.14</v>
      </c>
      <c r="I35" s="2"/>
      <c r="J35" s="7">
        <f t="shared" si="14"/>
        <v>4.1217708925950065E-2</v>
      </c>
      <c r="K35" s="2"/>
      <c r="L35" s="6">
        <f t="shared" si="15"/>
        <v>2526.329999999999</v>
      </c>
      <c r="M35" s="2"/>
      <c r="N35" s="7">
        <f t="shared" si="16"/>
        <v>0.31324068770039937</v>
      </c>
      <c r="O35" s="11"/>
      <c r="P35" s="6">
        <v>29888.01</v>
      </c>
      <c r="Q35" s="2"/>
      <c r="R35" s="7">
        <f t="shared" si="17"/>
        <v>7.6136338871705843E-3</v>
      </c>
      <c r="S35" s="2"/>
      <c r="T35" s="6">
        <v>24872.03</v>
      </c>
      <c r="U35" s="2"/>
      <c r="V35" s="7">
        <f t="shared" si="18"/>
        <v>4.9589914709118173E-2</v>
      </c>
      <c r="W35" s="2"/>
      <c r="X35" s="6">
        <f t="shared" si="19"/>
        <v>5015.9799999999996</v>
      </c>
      <c r="Y35" s="2"/>
      <c r="Z35" s="7">
        <f t="shared" si="20"/>
        <v>0.20167151615690396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6">
        <v>7361.75</v>
      </c>
      <c r="E36" s="2"/>
      <c r="F36" s="7">
        <f t="shared" si="13"/>
        <v>4.1112427711543801E-3</v>
      </c>
      <c r="G36" s="2"/>
      <c r="H36" s="6">
        <v>3769.05</v>
      </c>
      <c r="I36" s="2"/>
      <c r="J36" s="7">
        <f t="shared" si="14"/>
        <v>1.9262109005838968E-2</v>
      </c>
      <c r="K36" s="2"/>
      <c r="L36" s="6">
        <f t="shared" si="15"/>
        <v>3592.7</v>
      </c>
      <c r="M36" s="2"/>
      <c r="N36" s="7">
        <f t="shared" si="16"/>
        <v>0.9532110213449011</v>
      </c>
      <c r="O36" s="11"/>
      <c r="P36" s="6">
        <v>18523.22</v>
      </c>
      <c r="Q36" s="2"/>
      <c r="R36" s="7">
        <f t="shared" si="17"/>
        <v>4.7185816483437983E-3</v>
      </c>
      <c r="S36" s="2"/>
      <c r="T36" s="6">
        <v>12687.67</v>
      </c>
      <c r="U36" s="2"/>
      <c r="V36" s="7">
        <f t="shared" si="18"/>
        <v>2.5296707713742601E-2</v>
      </c>
      <c r="W36" s="2"/>
      <c r="X36" s="6">
        <f t="shared" si="19"/>
        <v>5835.5500000000011</v>
      </c>
      <c r="Y36" s="2"/>
      <c r="Z36" s="7">
        <f t="shared" si="20"/>
        <v>0.45993866486123935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469772.13999999996</v>
      </c>
      <c r="E37" s="1"/>
      <c r="F37" s="5">
        <f t="shared" ref="F37:F43" si="21">IF(D$12=0,0,D37/D$12)</f>
        <v>0.26234894076336784</v>
      </c>
      <c r="G37" s="1"/>
      <c r="H37" s="1">
        <f>SUM(OSRRefH22_1x_0)</f>
        <v>175455.66999999998</v>
      </c>
      <c r="I37" s="1"/>
      <c r="J37" s="5">
        <f t="shared" ref="J37:J43" si="22">IF(H$12=0,0,H37/H$12)</f>
        <v>0.89668384373582455</v>
      </c>
      <c r="K37" s="1"/>
      <c r="L37" s="1">
        <f t="shared" ref="L37:L43" si="23">+D37-H37</f>
        <v>294316.46999999997</v>
      </c>
      <c r="M37" s="1"/>
      <c r="N37" s="5">
        <f t="shared" ref="N37:N43" si="24">IF(H37=0,0,L37/H37)</f>
        <v>1.6774406321551192</v>
      </c>
      <c r="O37" s="14"/>
      <c r="P37" s="1">
        <f>SUM(OSRRefP22_1x_0)</f>
        <v>1118042.6399999999</v>
      </c>
      <c r="Q37" s="1"/>
      <c r="R37" s="5">
        <f t="shared" ref="R37:R43" si="25">IF(P$12=0,0,P37/P$12)</f>
        <v>0.28480876884093859</v>
      </c>
      <c r="S37" s="1"/>
      <c r="T37" s="1">
        <f>SUM(OSRRefT22_1x_0)</f>
        <v>567257.19999999995</v>
      </c>
      <c r="U37" s="1"/>
      <c r="V37" s="5">
        <f t="shared" ref="V37:V43" si="26">IF(T$12=0,0,T37/T$12)</f>
        <v>1.1309988033197607</v>
      </c>
      <c r="W37" s="1"/>
      <c r="X37" s="1">
        <f t="shared" ref="X37:X43" si="27">+P37-T37</f>
        <v>550785.43999999994</v>
      </c>
      <c r="Y37" s="1"/>
      <c r="Z37" s="5">
        <f t="shared" ref="Z37:Z43" si="28">IF(T37=0,0,X37/T37)</f>
        <v>0.97096244877984794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>
        <v>21715.45</v>
      </c>
      <c r="E38" s="2"/>
      <c r="F38" s="7">
        <f t="shared" si="21"/>
        <v>1.2127209812186557E-2</v>
      </c>
      <c r="G38" s="2"/>
      <c r="H38" s="6">
        <v>21715.45</v>
      </c>
      <c r="I38" s="2"/>
      <c r="J38" s="7">
        <f t="shared" si="22"/>
        <v>0.11097899072998389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>
        <v>82697.61</v>
      </c>
      <c r="Q38" s="2"/>
      <c r="R38" s="7">
        <f t="shared" si="25"/>
        <v>2.1066284636682635E-2</v>
      </c>
      <c r="S38" s="2"/>
      <c r="T38" s="6">
        <v>80596.14</v>
      </c>
      <c r="U38" s="2"/>
      <c r="V38" s="7">
        <f t="shared" si="26"/>
        <v>0.16069278255470695</v>
      </c>
      <c r="W38" s="2"/>
      <c r="X38" s="6">
        <f t="shared" si="27"/>
        <v>2101.4700000000012</v>
      </c>
      <c r="Y38" s="2"/>
      <c r="Z38" s="7">
        <f t="shared" si="28"/>
        <v>2.6074077493041244E-2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6">
        <v>72337.210000000006</v>
      </c>
      <c r="E39" s="2"/>
      <c r="F39" s="7">
        <f t="shared" si="21"/>
        <v>4.0397436981421044E-2</v>
      </c>
      <c r="G39" s="2"/>
      <c r="H39" s="6">
        <v>48280</v>
      </c>
      <c r="I39" s="2"/>
      <c r="J39" s="7">
        <f t="shared" si="22"/>
        <v>0.24673979459065423</v>
      </c>
      <c r="K39" s="2"/>
      <c r="L39" s="6">
        <f t="shared" si="23"/>
        <v>24057.210000000006</v>
      </c>
      <c r="M39" s="2"/>
      <c r="N39" s="7">
        <f t="shared" si="24"/>
        <v>0.49828521126760578</v>
      </c>
      <c r="O39" s="11"/>
      <c r="P39" s="6">
        <v>244451.46</v>
      </c>
      <c r="Q39" s="2"/>
      <c r="R39" s="7">
        <f t="shared" si="25"/>
        <v>6.2271255919157033E-2</v>
      </c>
      <c r="S39" s="2"/>
      <c r="T39" s="6">
        <v>189094.45</v>
      </c>
      <c r="U39" s="2"/>
      <c r="V39" s="7">
        <f t="shared" si="26"/>
        <v>0.37701698041806847</v>
      </c>
      <c r="W39" s="2"/>
      <c r="X39" s="6">
        <f t="shared" si="27"/>
        <v>55357.00999999998</v>
      </c>
      <c r="Y39" s="2"/>
      <c r="Z39" s="7">
        <f t="shared" si="28"/>
        <v>0.29274793628263535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6">
        <v>144397.54999999999</v>
      </c>
      <c r="E40" s="2"/>
      <c r="F40" s="7">
        <f t="shared" si="21"/>
        <v>8.0640253147675908E-2</v>
      </c>
      <c r="G40" s="2"/>
      <c r="H40" s="6">
        <v>72343.88</v>
      </c>
      <c r="I40" s="2"/>
      <c r="J40" s="7">
        <f t="shared" si="22"/>
        <v>0.36972067297205757</v>
      </c>
      <c r="K40" s="2"/>
      <c r="L40" s="6">
        <f t="shared" si="23"/>
        <v>72053.669999999984</v>
      </c>
      <c r="M40" s="2"/>
      <c r="N40" s="7">
        <f t="shared" si="24"/>
        <v>0.99598846509200201</v>
      </c>
      <c r="O40" s="11"/>
      <c r="P40" s="6">
        <v>348148.04</v>
      </c>
      <c r="Q40" s="2"/>
      <c r="R40" s="7">
        <f t="shared" si="25"/>
        <v>8.8686791629687622E-2</v>
      </c>
      <c r="S40" s="2"/>
      <c r="T40" s="6">
        <v>206694.99</v>
      </c>
      <c r="U40" s="2"/>
      <c r="V40" s="7">
        <f t="shared" si="26"/>
        <v>0.41210898044518418</v>
      </c>
      <c r="W40" s="2"/>
      <c r="X40" s="6">
        <f t="shared" si="27"/>
        <v>141453.04999999999</v>
      </c>
      <c r="Y40" s="2"/>
      <c r="Z40" s="7">
        <f t="shared" si="28"/>
        <v>0.68435645198753969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6">
        <v>142550.01999999999</v>
      </c>
      <c r="E41" s="2"/>
      <c r="F41" s="7">
        <f t="shared" si="21"/>
        <v>7.9608481577466264E-2</v>
      </c>
      <c r="G41" s="2"/>
      <c r="H41" s="6">
        <v>23908.93</v>
      </c>
      <c r="I41" s="2"/>
      <c r="J41" s="7">
        <f t="shared" si="22"/>
        <v>0.12218899082606319</v>
      </c>
      <c r="K41" s="2"/>
      <c r="L41" s="6">
        <f t="shared" si="23"/>
        <v>118641.09</v>
      </c>
      <c r="M41" s="2"/>
      <c r="N41" s="7">
        <f t="shared" si="24"/>
        <v>4.9622082627704378</v>
      </c>
      <c r="O41" s="11"/>
      <c r="P41" s="6">
        <v>222052.64</v>
      </c>
      <c r="Q41" s="2"/>
      <c r="R41" s="7">
        <f t="shared" si="25"/>
        <v>5.6565408825803069E-2</v>
      </c>
      <c r="S41" s="2"/>
      <c r="T41" s="6">
        <v>39850.44</v>
      </c>
      <c r="U41" s="2"/>
      <c r="V41" s="7">
        <f t="shared" si="26"/>
        <v>7.9453905480205339E-2</v>
      </c>
      <c r="W41" s="2"/>
      <c r="X41" s="6">
        <f t="shared" si="27"/>
        <v>182202.2</v>
      </c>
      <c r="Y41" s="2"/>
      <c r="Z41" s="7">
        <f t="shared" si="28"/>
        <v>4.5721502698590024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6">
        <v>75104.69</v>
      </c>
      <c r="E42" s="2"/>
      <c r="F42" s="7">
        <f t="shared" si="21"/>
        <v>4.1942963811904869E-2</v>
      </c>
      <c r="G42" s="2"/>
      <c r="H42" s="6">
        <v>5215.1099999999997</v>
      </c>
      <c r="I42" s="2"/>
      <c r="J42" s="7">
        <f t="shared" si="22"/>
        <v>2.6652344038269816E-2</v>
      </c>
      <c r="K42" s="2"/>
      <c r="L42" s="6">
        <f t="shared" si="23"/>
        <v>69889.58</v>
      </c>
      <c r="M42" s="2"/>
      <c r="N42" s="7">
        <f t="shared" si="24"/>
        <v>13.401362579121056</v>
      </c>
      <c r="O42" s="11"/>
      <c r="P42" s="6">
        <v>202438.01</v>
      </c>
      <c r="Q42" s="2"/>
      <c r="R42" s="7">
        <f t="shared" si="25"/>
        <v>5.156880277366669E-2</v>
      </c>
      <c r="S42" s="2"/>
      <c r="T42" s="6">
        <v>43326.22</v>
      </c>
      <c r="U42" s="2"/>
      <c r="V42" s="7">
        <f t="shared" si="26"/>
        <v>8.6383924209985682E-2</v>
      </c>
      <c r="W42" s="2"/>
      <c r="X42" s="6">
        <f t="shared" si="27"/>
        <v>159111.79</v>
      </c>
      <c r="Y42" s="2"/>
      <c r="Z42" s="7">
        <f t="shared" si="28"/>
        <v>3.6724133792424078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6">
        <v>13667.22</v>
      </c>
      <c r="E43" s="2"/>
      <c r="F43" s="7">
        <f t="shared" si="21"/>
        <v>7.6325954327132227E-3</v>
      </c>
      <c r="G43" s="2"/>
      <c r="H43" s="6">
        <v>3992.3</v>
      </c>
      <c r="I43" s="2"/>
      <c r="J43" s="7">
        <f t="shared" si="22"/>
        <v>2.0403050578795958E-2</v>
      </c>
      <c r="K43" s="2"/>
      <c r="L43" s="6">
        <f t="shared" si="23"/>
        <v>9674.9199999999983</v>
      </c>
      <c r="M43" s="2"/>
      <c r="N43" s="7">
        <f t="shared" si="24"/>
        <v>2.4233950354432277</v>
      </c>
      <c r="O43" s="11"/>
      <c r="P43" s="6">
        <v>18254.88</v>
      </c>
      <c r="Q43" s="2"/>
      <c r="R43" s="7">
        <f t="shared" si="25"/>
        <v>4.6502250559415821E-3</v>
      </c>
      <c r="S43" s="2"/>
      <c r="T43" s="6">
        <v>7694.96</v>
      </c>
      <c r="U43" s="2"/>
      <c r="V43" s="7">
        <f t="shared" si="26"/>
        <v>1.5342230211610231E-2</v>
      </c>
      <c r="W43" s="2"/>
      <c r="X43" s="6">
        <f t="shared" si="27"/>
        <v>10559.920000000002</v>
      </c>
      <c r="Y43" s="2"/>
      <c r="Z43" s="7">
        <f t="shared" si="28"/>
        <v>1.3723164252965581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95.23</v>
      </c>
      <c r="E44" s="1"/>
      <c r="F44" s="5">
        <f t="shared" ref="F44:F52" si="29">IF(D$12=0,0,D44/D$12)</f>
        <v>5.3182144068602114E-5</v>
      </c>
      <c r="G44" s="1"/>
      <c r="H44" s="1">
        <f>SUM(OSRRefH22_2x_0)</f>
        <v>15.05</v>
      </c>
      <c r="I44" s="1"/>
      <c r="J44" s="5">
        <f t="shared" ref="J44:J52" si="30">IF(H$12=0,0,H44/H$12)</f>
        <v>7.6914538288925982E-5</v>
      </c>
      <c r="K44" s="1"/>
      <c r="L44" s="1">
        <f t="shared" ref="L44:L52" si="31">+D44-H44</f>
        <v>80.180000000000007</v>
      </c>
      <c r="M44" s="1"/>
      <c r="N44" s="5">
        <f t="shared" ref="N44:N52" si="32">IF(H44=0,0,L44/H44)</f>
        <v>5.3275747508305651</v>
      </c>
      <c r="O44" s="14"/>
      <c r="P44" s="1">
        <f>SUM(OSRRefP22_2x_0)</f>
        <v>3593.19</v>
      </c>
      <c r="Q44" s="1"/>
      <c r="R44" s="5">
        <f t="shared" ref="R44:R52" si="33">IF(P$12=0,0,P44/P$12)</f>
        <v>9.1532467859327111E-4</v>
      </c>
      <c r="S44" s="1"/>
      <c r="T44" s="1">
        <f>SUM(OSRRefT22_2x_0)</f>
        <v>1539.63</v>
      </c>
      <c r="U44" s="1"/>
      <c r="V44" s="5">
        <f t="shared" ref="V44:V52" si="34">IF(T$12=0,0,T44/T$12)</f>
        <v>3.0697180882943462E-3</v>
      </c>
      <c r="W44" s="1"/>
      <c r="X44" s="1">
        <f t="shared" ref="X44:X52" si="35">+P44-T44</f>
        <v>2053.56</v>
      </c>
      <c r="Y44" s="1"/>
      <c r="Z44" s="5">
        <f t="shared" ref="Z44:Z52" si="36">IF(T44=0,0,X44/T44)</f>
        <v>1.3338009781570896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6">
        <v>95.23</v>
      </c>
      <c r="E45" s="2"/>
      <c r="F45" s="7">
        <f t="shared" si="29"/>
        <v>5.3182144068602114E-5</v>
      </c>
      <c r="G45" s="2"/>
      <c r="H45" s="6">
        <v>15.05</v>
      </c>
      <c r="I45" s="2"/>
      <c r="J45" s="7">
        <f t="shared" si="30"/>
        <v>7.6914538288925982E-5</v>
      </c>
      <c r="K45" s="2"/>
      <c r="L45" s="6">
        <f t="shared" si="31"/>
        <v>80.180000000000007</v>
      </c>
      <c r="M45" s="2"/>
      <c r="N45" s="7">
        <f t="shared" si="32"/>
        <v>5.3275747508305651</v>
      </c>
      <c r="O45" s="11"/>
      <c r="P45" s="6">
        <v>3593.19</v>
      </c>
      <c r="Q45" s="2"/>
      <c r="R45" s="7">
        <f t="shared" si="33"/>
        <v>9.1532467859327111E-4</v>
      </c>
      <c r="S45" s="2"/>
      <c r="T45" s="6">
        <v>1539.63</v>
      </c>
      <c r="U45" s="2"/>
      <c r="V45" s="7">
        <f t="shared" si="34"/>
        <v>3.0697180882943462E-3</v>
      </c>
      <c r="W45" s="2"/>
      <c r="X45" s="6">
        <f t="shared" si="35"/>
        <v>2053.56</v>
      </c>
      <c r="Y45" s="2"/>
      <c r="Z45" s="7">
        <f t="shared" si="36"/>
        <v>1.3338009781570896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-11.81</v>
      </c>
      <c r="E46" s="1"/>
      <c r="F46" s="5">
        <f t="shared" si="29"/>
        <v>-6.5954123852797546E-6</v>
      </c>
      <c r="G46" s="1"/>
      <c r="H46" s="1">
        <f>SUM(OSRRefH22_3x_0)</f>
        <v>1539.8</v>
      </c>
      <c r="I46" s="1"/>
      <c r="J46" s="5">
        <f t="shared" si="30"/>
        <v>7.8693027280590175E-3</v>
      </c>
      <c r="K46" s="1"/>
      <c r="L46" s="1">
        <f t="shared" si="31"/>
        <v>-1551.61</v>
      </c>
      <c r="M46" s="1"/>
      <c r="N46" s="5">
        <f t="shared" si="32"/>
        <v>-1.0076698272502922</v>
      </c>
      <c r="O46" s="14"/>
      <c r="P46" s="1">
        <f>SUM(OSRRefP22_3x_0)</f>
        <v>-127</v>
      </c>
      <c r="Q46" s="1"/>
      <c r="R46" s="5">
        <f t="shared" si="33"/>
        <v>-3.235181946441614E-5</v>
      </c>
      <c r="S46" s="1"/>
      <c r="T46" s="1">
        <f>SUM(OSRRefT22_3x_0)</f>
        <v>1408.02</v>
      </c>
      <c r="U46" s="1"/>
      <c r="V46" s="5">
        <f t="shared" si="34"/>
        <v>2.8073137459520823E-3</v>
      </c>
      <c r="W46" s="1"/>
      <c r="X46" s="1">
        <f t="shared" si="35"/>
        <v>-1535.02</v>
      </c>
      <c r="Y46" s="1"/>
      <c r="Z46" s="5">
        <f t="shared" si="36"/>
        <v>-1.0901975824207042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6">
        <v>-11.81</v>
      </c>
      <c r="E47" s="2"/>
      <c r="F47" s="7">
        <f t="shared" si="29"/>
        <v>-6.5954123852797546E-6</v>
      </c>
      <c r="G47" s="2"/>
      <c r="H47" s="6">
        <v>1539.8</v>
      </c>
      <c r="I47" s="2"/>
      <c r="J47" s="7">
        <f t="shared" si="30"/>
        <v>7.8693027280590175E-3</v>
      </c>
      <c r="K47" s="2"/>
      <c r="L47" s="6">
        <f t="shared" si="31"/>
        <v>-1551.61</v>
      </c>
      <c r="M47" s="2"/>
      <c r="N47" s="7">
        <f t="shared" si="32"/>
        <v>-1.0076698272502922</v>
      </c>
      <c r="O47" s="11"/>
      <c r="P47" s="6">
        <v>-127</v>
      </c>
      <c r="Q47" s="2"/>
      <c r="R47" s="7">
        <f t="shared" si="33"/>
        <v>-3.235181946441614E-5</v>
      </c>
      <c r="S47" s="2"/>
      <c r="T47" s="6">
        <v>1408.02</v>
      </c>
      <c r="U47" s="2"/>
      <c r="V47" s="7">
        <f t="shared" si="34"/>
        <v>2.8073137459520823E-3</v>
      </c>
      <c r="W47" s="2"/>
      <c r="X47" s="6">
        <f t="shared" si="35"/>
        <v>-1535.02</v>
      </c>
      <c r="Y47" s="2"/>
      <c r="Z47" s="7">
        <f t="shared" si="36"/>
        <v>-1.0901975824207042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6436.56</v>
      </c>
      <c r="E48" s="1"/>
      <c r="F48" s="5">
        <f t="shared" si="29"/>
        <v>3.5945611805754661E-3</v>
      </c>
      <c r="G48" s="1"/>
      <c r="H48" s="1">
        <f>SUM(OSRRefH22_4x_0)</f>
        <v>758.49</v>
      </c>
      <c r="I48" s="1"/>
      <c r="J48" s="5">
        <f t="shared" si="30"/>
        <v>3.8763394117453465E-3</v>
      </c>
      <c r="K48" s="1"/>
      <c r="L48" s="1">
        <f t="shared" si="31"/>
        <v>5678.0700000000006</v>
      </c>
      <c r="M48" s="1"/>
      <c r="N48" s="5">
        <f t="shared" si="32"/>
        <v>7.4860182731479661</v>
      </c>
      <c r="O48" s="14"/>
      <c r="P48" s="1">
        <f>SUM(OSRRefP22_4x_0)</f>
        <v>14844.43</v>
      </c>
      <c r="Q48" s="1"/>
      <c r="R48" s="5">
        <f t="shared" si="33"/>
        <v>3.7814513339540384E-3</v>
      </c>
      <c r="S48" s="1"/>
      <c r="T48" s="1">
        <f>SUM(OSRRefT22_4x_0)</f>
        <v>1867.81</v>
      </c>
      <c r="U48" s="1"/>
      <c r="V48" s="5">
        <f t="shared" si="34"/>
        <v>3.7240441810675695E-3</v>
      </c>
      <c r="W48" s="1"/>
      <c r="X48" s="1">
        <f t="shared" si="35"/>
        <v>12976.62</v>
      </c>
      <c r="Y48" s="1"/>
      <c r="Z48" s="5">
        <f t="shared" si="36"/>
        <v>6.9475053672482749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6">
        <v>6436.56</v>
      </c>
      <c r="E49" s="2"/>
      <c r="F49" s="7">
        <f t="shared" si="29"/>
        <v>3.5945611805754661E-3</v>
      </c>
      <c r="G49" s="2"/>
      <c r="H49" s="6">
        <v>758.49</v>
      </c>
      <c r="I49" s="2"/>
      <c r="J49" s="7">
        <f t="shared" si="30"/>
        <v>3.8763394117453465E-3</v>
      </c>
      <c r="K49" s="2"/>
      <c r="L49" s="6">
        <f t="shared" si="31"/>
        <v>5678.0700000000006</v>
      </c>
      <c r="M49" s="2"/>
      <c r="N49" s="7">
        <f t="shared" si="32"/>
        <v>7.4860182731479661</v>
      </c>
      <c r="O49" s="11"/>
      <c r="P49" s="6">
        <v>14844.43</v>
      </c>
      <c r="Q49" s="2"/>
      <c r="R49" s="7">
        <f t="shared" si="33"/>
        <v>3.7814513339540384E-3</v>
      </c>
      <c r="S49" s="2"/>
      <c r="T49" s="6">
        <v>1867.81</v>
      </c>
      <c r="U49" s="2"/>
      <c r="V49" s="7">
        <f t="shared" si="34"/>
        <v>3.7240441810675695E-3</v>
      </c>
      <c r="W49" s="2"/>
      <c r="X49" s="6">
        <f t="shared" si="35"/>
        <v>12976.62</v>
      </c>
      <c r="Y49" s="2"/>
      <c r="Z49" s="7">
        <f t="shared" si="36"/>
        <v>6.9475053672482749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33542.080000000002</v>
      </c>
      <c r="E50" s="1"/>
      <c r="F50" s="5">
        <f t="shared" si="29"/>
        <v>1.8731909386963959E-2</v>
      </c>
      <c r="G50" s="1"/>
      <c r="H50" s="1">
        <f>SUM(OSRRefH22_5x_0)</f>
        <v>37536.630000000005</v>
      </c>
      <c r="I50" s="1"/>
      <c r="J50" s="5">
        <f t="shared" si="30"/>
        <v>0.19183472195164436</v>
      </c>
      <c r="K50" s="1"/>
      <c r="L50" s="1">
        <f t="shared" si="31"/>
        <v>-3994.5500000000029</v>
      </c>
      <c r="M50" s="1"/>
      <c r="N50" s="5">
        <f t="shared" si="32"/>
        <v>-0.10641738483182966</v>
      </c>
      <c r="O50" s="14"/>
      <c r="P50" s="1">
        <f>SUM(OSRRefP22_5x_0)</f>
        <v>134256.46000000002</v>
      </c>
      <c r="Q50" s="1"/>
      <c r="R50" s="5">
        <f t="shared" si="33"/>
        <v>3.4200320912217384E-2</v>
      </c>
      <c r="S50" s="1"/>
      <c r="T50" s="1">
        <f>SUM(OSRRefT22_5x_0)</f>
        <v>152212.12</v>
      </c>
      <c r="U50" s="1"/>
      <c r="V50" s="5">
        <f t="shared" si="34"/>
        <v>0.30348089997053157</v>
      </c>
      <c r="W50" s="1"/>
      <c r="X50" s="1">
        <f t="shared" si="35"/>
        <v>-17955.659999999974</v>
      </c>
      <c r="Y50" s="1"/>
      <c r="Z50" s="5">
        <f t="shared" si="36"/>
        <v>-0.11796471923523551</v>
      </c>
    </row>
    <row r="51" spans="1:26" s="24" customFormat="1" hidden="1" outlineLevel="2" x14ac:dyDescent="0.25">
      <c r="A51" s="29"/>
      <c r="B51" s="11" t="str">
        <f>CONCATENATE("          ", "6321", " - ", "BUILDING DEPRECIATION")</f>
        <v xml:space="preserve">          6321 - BUILDING DEPRECIATION</v>
      </c>
      <c r="C51" s="11"/>
      <c r="D51" s="6">
        <v>23539.4</v>
      </c>
      <c r="E51" s="2"/>
      <c r="F51" s="7">
        <f t="shared" si="29"/>
        <v>1.3145812896024915E-2</v>
      </c>
      <c r="G51" s="2"/>
      <c r="H51" s="6">
        <v>23583.49</v>
      </c>
      <c r="I51" s="2"/>
      <c r="J51" s="7">
        <f t="shared" si="30"/>
        <v>0.12052579698282412</v>
      </c>
      <c r="K51" s="2"/>
      <c r="L51" s="6">
        <f t="shared" si="31"/>
        <v>-44.090000000000146</v>
      </c>
      <c r="M51" s="2"/>
      <c r="N51" s="7">
        <f t="shared" si="32"/>
        <v>-1.8695282165616769E-3</v>
      </c>
      <c r="O51" s="11"/>
      <c r="P51" s="6">
        <v>94245.74</v>
      </c>
      <c r="Q51" s="2"/>
      <c r="R51" s="7">
        <f t="shared" si="33"/>
        <v>2.4008040675356716E-2</v>
      </c>
      <c r="S51" s="2"/>
      <c r="T51" s="6">
        <v>95118.15</v>
      </c>
      <c r="U51" s="2"/>
      <c r="V51" s="7">
        <f t="shared" si="34"/>
        <v>0.18964680188103297</v>
      </c>
      <c r="W51" s="2"/>
      <c r="X51" s="6">
        <f t="shared" si="35"/>
        <v>-872.40999999998894</v>
      </c>
      <c r="Y51" s="2"/>
      <c r="Z51" s="7">
        <f t="shared" si="36"/>
        <v>-9.1718562650765292E-3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10002.68</v>
      </c>
      <c r="E52" s="2"/>
      <c r="F52" s="7">
        <f t="shared" si="29"/>
        <v>5.5860964909390425E-3</v>
      </c>
      <c r="G52" s="2"/>
      <c r="H52" s="6">
        <v>13953.14</v>
      </c>
      <c r="I52" s="2"/>
      <c r="J52" s="7">
        <f t="shared" si="30"/>
        <v>7.1308924968820228E-2</v>
      </c>
      <c r="K52" s="2"/>
      <c r="L52" s="6">
        <f t="shared" si="31"/>
        <v>-3950.4599999999991</v>
      </c>
      <c r="M52" s="2"/>
      <c r="N52" s="7">
        <f t="shared" si="32"/>
        <v>-0.28312336864677051</v>
      </c>
      <c r="O52" s="11"/>
      <c r="P52" s="6">
        <v>40010.720000000001</v>
      </c>
      <c r="Q52" s="2"/>
      <c r="R52" s="7">
        <f t="shared" si="33"/>
        <v>1.0192280236860663E-2</v>
      </c>
      <c r="S52" s="2"/>
      <c r="T52" s="6">
        <v>57093.97</v>
      </c>
      <c r="U52" s="2"/>
      <c r="V52" s="7">
        <f t="shared" si="34"/>
        <v>0.1138340980894986</v>
      </c>
      <c r="W52" s="2"/>
      <c r="X52" s="6">
        <f t="shared" si="35"/>
        <v>-17083.25</v>
      </c>
      <c r="Y52" s="2"/>
      <c r="Z52" s="7">
        <f t="shared" si="36"/>
        <v>-0.29921285908126549</v>
      </c>
    </row>
    <row r="53" spans="1:26" s="28" customFormat="1" outlineLevel="1" collapsed="1" x14ac:dyDescent="0.25">
      <c r="A53" s="27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SUM(OSRRefD22_6x_0)</f>
        <v>10498.56</v>
      </c>
      <c r="E53" s="1"/>
      <c r="F53" s="5">
        <f t="shared" ref="F53:F74" si="37">IF(D$12=0,0,D53/D$12)</f>
        <v>5.8630256267233373E-3</v>
      </c>
      <c r="G53" s="1"/>
      <c r="H53" s="1">
        <f>SUM(OSRRefH22_6x_0)</f>
        <v>11110.09</v>
      </c>
      <c r="I53" s="1"/>
      <c r="J53" s="5">
        <f t="shared" ref="J53:J74" si="38">IF(H$12=0,0,H53/H$12)</f>
        <v>5.6779232072984291E-2</v>
      </c>
      <c r="K53" s="1"/>
      <c r="L53" s="1">
        <f t="shared" ref="L53:L74" si="39">+D53-H53</f>
        <v>-611.53000000000065</v>
      </c>
      <c r="M53" s="1"/>
      <c r="N53" s="5">
        <f t="shared" ref="N53:N74" si="40">IF(H53=0,0,L53/H53)</f>
        <v>-5.5042758429499732E-2</v>
      </c>
      <c r="O53" s="14"/>
      <c r="P53" s="1">
        <f>SUM(OSRRefP22_6x_0)</f>
        <v>24413.74</v>
      </c>
      <c r="Q53" s="1"/>
      <c r="R53" s="5">
        <f t="shared" ref="R53:R74" si="41">IF(P$12=0,0,P53/P$12)</f>
        <v>6.219125267174763E-3</v>
      </c>
      <c r="S53" s="1"/>
      <c r="T53" s="1">
        <f>SUM(OSRRefT22_6x_0)</f>
        <v>22220.18</v>
      </c>
      <c r="U53" s="1"/>
      <c r="V53" s="5">
        <f t="shared" ref="V53:V74" si="42">IF(T$12=0,0,T53/T$12)</f>
        <v>4.4302649643847065E-2</v>
      </c>
      <c r="W53" s="1"/>
      <c r="X53" s="1">
        <f t="shared" ref="X53:X74" si="43">+P53-T53</f>
        <v>2193.5600000000013</v>
      </c>
      <c r="Y53" s="1"/>
      <c r="Z53" s="5">
        <f t="shared" ref="Z53:Z74" si="44">IF(T53=0,0,X53/T53)</f>
        <v>9.8719272301124525E-2</v>
      </c>
    </row>
    <row r="54" spans="1:26" s="24" customFormat="1" hidden="1" outlineLevel="2" x14ac:dyDescent="0.25">
      <c r="A54" s="29"/>
      <c r="B54" s="11" t="str">
        <f>CONCATENATE("          ", "6399", " - ", "DONATION-ON CAMPUS")</f>
        <v xml:space="preserve">          6399 - DONATION-ON CAMPUS</v>
      </c>
      <c r="C54" s="11"/>
      <c r="D54" s="6">
        <v>10498.56</v>
      </c>
      <c r="E54" s="2"/>
      <c r="F54" s="7">
        <f t="shared" si="37"/>
        <v>5.8630256267233373E-3</v>
      </c>
      <c r="G54" s="2"/>
      <c r="H54" s="6">
        <v>11110.09</v>
      </c>
      <c r="I54" s="2"/>
      <c r="J54" s="7">
        <f t="shared" si="38"/>
        <v>5.6779232072984291E-2</v>
      </c>
      <c r="K54" s="2"/>
      <c r="L54" s="6">
        <f t="shared" si="39"/>
        <v>-611.53000000000065</v>
      </c>
      <c r="M54" s="2"/>
      <c r="N54" s="7">
        <f t="shared" si="40"/>
        <v>-5.5042758429499732E-2</v>
      </c>
      <c r="O54" s="11"/>
      <c r="P54" s="6">
        <v>24413.74</v>
      </c>
      <c r="Q54" s="2"/>
      <c r="R54" s="7">
        <f t="shared" si="41"/>
        <v>6.219125267174763E-3</v>
      </c>
      <c r="S54" s="2"/>
      <c r="T54" s="6">
        <v>22220.18</v>
      </c>
      <c r="U54" s="2"/>
      <c r="V54" s="7">
        <f t="shared" si="42"/>
        <v>4.4302649643847065E-2</v>
      </c>
      <c r="W54" s="2"/>
      <c r="X54" s="6">
        <f t="shared" si="43"/>
        <v>2193.5600000000013</v>
      </c>
      <c r="Y54" s="2"/>
      <c r="Z54" s="7">
        <f t="shared" si="44"/>
        <v>9.8719272301124525E-2</v>
      </c>
    </row>
    <row r="55" spans="1:26" s="28" customFormat="1" outlineLevel="1" collapsed="1" x14ac:dyDescent="0.25">
      <c r="A55" s="27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SUM(OSRRefD22_7x_0)</f>
        <v>123.17</v>
      </c>
      <c r="E55" s="1"/>
      <c r="F55" s="5">
        <f t="shared" si="37"/>
        <v>6.8785515960618739E-5</v>
      </c>
      <c r="G55" s="1"/>
      <c r="H55" s="1">
        <f>SUM(OSRRefH22_7x_0)</f>
        <v>0</v>
      </c>
      <c r="I55" s="1"/>
      <c r="J55" s="5">
        <f t="shared" si="38"/>
        <v>0</v>
      </c>
      <c r="K55" s="1"/>
      <c r="L55" s="1">
        <f t="shared" si="39"/>
        <v>123.17</v>
      </c>
      <c r="M55" s="1"/>
      <c r="N55" s="5">
        <f t="shared" si="40"/>
        <v>0</v>
      </c>
      <c r="O55" s="14"/>
      <c r="P55" s="1">
        <f>SUM(OSRRefP22_7x_0)</f>
        <v>155.66</v>
      </c>
      <c r="Q55" s="1"/>
      <c r="R55" s="5">
        <f t="shared" si="41"/>
        <v>3.9652631636464695E-5</v>
      </c>
      <c r="S55" s="1"/>
      <c r="T55" s="1">
        <f>SUM(OSRRefT22_7x_0)</f>
        <v>0</v>
      </c>
      <c r="U55" s="1"/>
      <c r="V55" s="5">
        <f t="shared" si="42"/>
        <v>0</v>
      </c>
      <c r="W55" s="1"/>
      <c r="X55" s="1">
        <f t="shared" si="43"/>
        <v>155.66</v>
      </c>
      <c r="Y55" s="1"/>
      <c r="Z55" s="5">
        <f t="shared" si="44"/>
        <v>0</v>
      </c>
    </row>
    <row r="56" spans="1:26" s="24" customFormat="1" hidden="1" outlineLevel="2" x14ac:dyDescent="0.25">
      <c r="A56" s="29"/>
      <c r="B56" s="11" t="str">
        <f>CONCATENATE("          ", "6277", " - ", "EMPLOYEE APPRECIATION")</f>
        <v xml:space="preserve">          6277 - EMPLOYEE APPRECIATION</v>
      </c>
      <c r="C56" s="11"/>
      <c r="D56" s="6">
        <v>123.17</v>
      </c>
      <c r="E56" s="2"/>
      <c r="F56" s="7">
        <f t="shared" si="37"/>
        <v>6.8785515960618739E-5</v>
      </c>
      <c r="G56" s="2"/>
      <c r="H56" s="6"/>
      <c r="I56" s="2"/>
      <c r="J56" s="7">
        <f t="shared" si="38"/>
        <v>0</v>
      </c>
      <c r="K56" s="2"/>
      <c r="L56" s="6">
        <f t="shared" si="39"/>
        <v>123.17</v>
      </c>
      <c r="M56" s="2"/>
      <c r="N56" s="7">
        <f t="shared" si="40"/>
        <v>0</v>
      </c>
      <c r="O56" s="11"/>
      <c r="P56" s="6">
        <v>155.66</v>
      </c>
      <c r="Q56" s="2"/>
      <c r="R56" s="7">
        <f t="shared" si="41"/>
        <v>3.9652631636464695E-5</v>
      </c>
      <c r="S56" s="2"/>
      <c r="T56" s="6"/>
      <c r="U56" s="2"/>
      <c r="V56" s="7">
        <f t="shared" si="42"/>
        <v>0</v>
      </c>
      <c r="W56" s="2"/>
      <c r="X56" s="6">
        <f t="shared" si="43"/>
        <v>155.66</v>
      </c>
      <c r="Y56" s="2"/>
      <c r="Z56" s="7">
        <f t="shared" si="44"/>
        <v>0</v>
      </c>
    </row>
    <row r="57" spans="1:26" s="28" customFormat="1" outlineLevel="1" collapsed="1" x14ac:dyDescent="0.25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SUM(OSRRefD22_8x_0)</f>
        <v>2715.16</v>
      </c>
      <c r="E57" s="1"/>
      <c r="F57" s="5">
        <f t="shared" si="37"/>
        <v>1.5163082042350699E-3</v>
      </c>
      <c r="G57" s="1"/>
      <c r="H57" s="1">
        <f>SUM(OSRRefH22_8x_0)</f>
        <v>2597.85</v>
      </c>
      <c r="I57" s="1"/>
      <c r="J57" s="5">
        <f t="shared" si="38"/>
        <v>1.3276573640789789E-2</v>
      </c>
      <c r="K57" s="1"/>
      <c r="L57" s="1">
        <f t="shared" si="39"/>
        <v>117.30999999999995</v>
      </c>
      <c r="M57" s="1"/>
      <c r="N57" s="5">
        <f t="shared" si="40"/>
        <v>4.5156571780510787E-2</v>
      </c>
      <c r="O57" s="14"/>
      <c r="P57" s="1">
        <f>SUM(OSRRefP22_8x_0)</f>
        <v>9724.2000000000007</v>
      </c>
      <c r="Q57" s="1"/>
      <c r="R57" s="5">
        <f t="shared" si="41"/>
        <v>2.4771304160305153E-3</v>
      </c>
      <c r="S57" s="1"/>
      <c r="T57" s="1">
        <f>SUM(OSRRefT22_8x_0)</f>
        <v>5573.14</v>
      </c>
      <c r="U57" s="1"/>
      <c r="V57" s="5">
        <f t="shared" si="42"/>
        <v>1.1111740266555439E-2</v>
      </c>
      <c r="W57" s="1"/>
      <c r="X57" s="1">
        <f t="shared" si="43"/>
        <v>4151.0600000000004</v>
      </c>
      <c r="Y57" s="1"/>
      <c r="Z57" s="5">
        <f t="shared" si="44"/>
        <v>0.74483325378511933</v>
      </c>
    </row>
    <row r="58" spans="1:26" s="24" customFormat="1" hidden="1" outlineLevel="2" x14ac:dyDescent="0.25">
      <c r="A58" s="29"/>
      <c r="B58" s="11" t="str">
        <f>CONCATENATE("          ", "6351", " - ", "EQUIPMENT RENTAL")</f>
        <v xml:space="preserve">          6351 - EQUIPMENT RENTAL</v>
      </c>
      <c r="C58" s="11"/>
      <c r="D58" s="6">
        <v>2715.16</v>
      </c>
      <c r="E58" s="2"/>
      <c r="F58" s="7">
        <f t="shared" si="37"/>
        <v>1.5163082042350699E-3</v>
      </c>
      <c r="G58" s="2"/>
      <c r="H58" s="6">
        <v>2597.85</v>
      </c>
      <c r="I58" s="2"/>
      <c r="J58" s="7">
        <f t="shared" si="38"/>
        <v>1.3276573640789789E-2</v>
      </c>
      <c r="K58" s="2"/>
      <c r="L58" s="6">
        <f t="shared" si="39"/>
        <v>117.30999999999995</v>
      </c>
      <c r="M58" s="2"/>
      <c r="N58" s="7">
        <f t="shared" si="40"/>
        <v>4.5156571780510787E-2</v>
      </c>
      <c r="O58" s="11"/>
      <c r="P58" s="6">
        <v>9724.2000000000007</v>
      </c>
      <c r="Q58" s="2"/>
      <c r="R58" s="7">
        <f t="shared" si="41"/>
        <v>2.4771304160305153E-3</v>
      </c>
      <c r="S58" s="2"/>
      <c r="T58" s="6">
        <v>5573.14</v>
      </c>
      <c r="U58" s="2"/>
      <c r="V58" s="7">
        <f t="shared" si="42"/>
        <v>1.1111740266555439E-2</v>
      </c>
      <c r="W58" s="2"/>
      <c r="X58" s="6">
        <f t="shared" si="43"/>
        <v>4151.0600000000004</v>
      </c>
      <c r="Y58" s="2"/>
      <c r="Z58" s="7">
        <f t="shared" si="44"/>
        <v>0.74483325378511933</v>
      </c>
    </row>
    <row r="59" spans="1:26" s="28" customFormat="1" outlineLevel="1" collapsed="1" x14ac:dyDescent="0.25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SUM(OSRRefD22_9x_0)</f>
        <v>0</v>
      </c>
      <c r="E59" s="1"/>
      <c r="F59" s="5">
        <f t="shared" si="37"/>
        <v>0</v>
      </c>
      <c r="G59" s="1"/>
      <c r="H59" s="1">
        <f>SUM(OSRRefH22_9x_0)</f>
        <v>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4"/>
      <c r="P59" s="1">
        <f>SUM(OSRRefP22_9x_0)</f>
        <v>0</v>
      </c>
      <c r="Q59" s="1"/>
      <c r="R59" s="5">
        <f t="shared" si="41"/>
        <v>0</v>
      </c>
      <c r="S59" s="1"/>
      <c r="T59" s="1">
        <f>SUM(OSRRefT22_9x_0)</f>
        <v>-5.41</v>
      </c>
      <c r="U59" s="1"/>
      <c r="V59" s="5">
        <f t="shared" si="42"/>
        <v>-1.0786471332510025E-5</v>
      </c>
      <c r="W59" s="1"/>
      <c r="X59" s="1">
        <f t="shared" si="43"/>
        <v>5.41</v>
      </c>
      <c r="Y59" s="1"/>
      <c r="Z59" s="5">
        <f t="shared" si="44"/>
        <v>-1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/>
      <c r="Q60" s="2"/>
      <c r="R60" s="7">
        <f t="shared" si="41"/>
        <v>0</v>
      </c>
      <c r="S60" s="2"/>
      <c r="T60" s="6">
        <v>-5.41</v>
      </c>
      <c r="U60" s="2"/>
      <c r="V60" s="7">
        <f t="shared" si="42"/>
        <v>-1.0786471332510025E-5</v>
      </c>
      <c r="W60" s="2"/>
      <c r="X60" s="6">
        <f t="shared" si="43"/>
        <v>5.41</v>
      </c>
      <c r="Y60" s="2"/>
      <c r="Z60" s="7">
        <f t="shared" si="44"/>
        <v>-1</v>
      </c>
    </row>
    <row r="61" spans="1:26" s="28" customFormat="1" outlineLevel="1" collapsed="1" x14ac:dyDescent="0.2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2065.66</v>
      </c>
      <c r="E61" s="1"/>
      <c r="F61" s="5">
        <f t="shared" si="37"/>
        <v>1.1535884460437745E-3</v>
      </c>
      <c r="G61" s="1"/>
      <c r="H61" s="1">
        <f>SUM(OSRRefH22_10x_0)</f>
        <v>0</v>
      </c>
      <c r="I61" s="1"/>
      <c r="J61" s="5">
        <f t="shared" si="38"/>
        <v>0</v>
      </c>
      <c r="K61" s="1"/>
      <c r="L61" s="1">
        <f t="shared" si="39"/>
        <v>2065.66</v>
      </c>
      <c r="M61" s="1"/>
      <c r="N61" s="5">
        <f t="shared" si="40"/>
        <v>0</v>
      </c>
      <c r="O61" s="14"/>
      <c r="P61" s="1">
        <f>SUM(OSRRefP22_10x_0)</f>
        <v>25262.97</v>
      </c>
      <c r="Q61" s="1"/>
      <c r="R61" s="5">
        <f t="shared" si="41"/>
        <v>6.4354570438973305E-3</v>
      </c>
      <c r="S61" s="1"/>
      <c r="T61" s="1">
        <f>SUM(OSRRefT22_10x_0)</f>
        <v>10147.4</v>
      </c>
      <c r="U61" s="1"/>
      <c r="V61" s="5">
        <f t="shared" si="42"/>
        <v>2.023191112745143E-2</v>
      </c>
      <c r="W61" s="1"/>
      <c r="X61" s="1">
        <f t="shared" si="43"/>
        <v>15115.570000000002</v>
      </c>
      <c r="Y61" s="1"/>
      <c r="Z61" s="5">
        <f t="shared" si="44"/>
        <v>1.4896002917003373</v>
      </c>
    </row>
    <row r="62" spans="1:26" s="24" customFormat="1" hidden="1" outlineLevel="2" x14ac:dyDescent="0.25">
      <c r="A62" s="29"/>
      <c r="B62" s="11" t="str">
        <f>CONCATENATE("          ", "6279", " - ", "GENERAL EXPENSE")</f>
        <v xml:space="preserve">          6279 - GENERAL EXPENSE</v>
      </c>
      <c r="C62" s="11"/>
      <c r="D62" s="6">
        <v>2065.66</v>
      </c>
      <c r="E62" s="2"/>
      <c r="F62" s="7">
        <f t="shared" si="37"/>
        <v>1.1535884460437745E-3</v>
      </c>
      <c r="G62" s="2"/>
      <c r="H62" s="6"/>
      <c r="I62" s="2"/>
      <c r="J62" s="7">
        <f t="shared" si="38"/>
        <v>0</v>
      </c>
      <c r="K62" s="2"/>
      <c r="L62" s="6">
        <f t="shared" si="39"/>
        <v>2065.66</v>
      </c>
      <c r="M62" s="2"/>
      <c r="N62" s="7">
        <f t="shared" si="40"/>
        <v>0</v>
      </c>
      <c r="O62" s="11"/>
      <c r="P62" s="6">
        <v>25262.97</v>
      </c>
      <c r="Q62" s="2"/>
      <c r="R62" s="7">
        <f t="shared" si="41"/>
        <v>6.4354570438973305E-3</v>
      </c>
      <c r="S62" s="2"/>
      <c r="T62" s="6">
        <v>10147.4</v>
      </c>
      <c r="U62" s="2"/>
      <c r="V62" s="7">
        <f t="shared" si="42"/>
        <v>2.023191112745143E-2</v>
      </c>
      <c r="W62" s="2"/>
      <c r="X62" s="6">
        <f t="shared" si="43"/>
        <v>15115.570000000002</v>
      </c>
      <c r="Y62" s="2"/>
      <c r="Z62" s="7">
        <f t="shared" si="44"/>
        <v>1.4896002917003373</v>
      </c>
    </row>
    <row r="63" spans="1:26" s="28" customFormat="1" outlineLevel="1" collapsed="1" x14ac:dyDescent="0.2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12644.42</v>
      </c>
      <c r="E63" s="1"/>
      <c r="F63" s="5">
        <f t="shared" si="37"/>
        <v>7.0614025633089781E-3</v>
      </c>
      <c r="G63" s="1"/>
      <c r="H63" s="1">
        <f>SUM(OSRRefH22_11x_0)</f>
        <v>10358.030000000001</v>
      </c>
      <c r="I63" s="1"/>
      <c r="J63" s="5">
        <f t="shared" si="38"/>
        <v>5.2935753822780332E-2</v>
      </c>
      <c r="K63" s="1"/>
      <c r="L63" s="1">
        <f t="shared" si="39"/>
        <v>2286.3899999999994</v>
      </c>
      <c r="M63" s="1"/>
      <c r="N63" s="5">
        <f t="shared" si="40"/>
        <v>0.22073598937249644</v>
      </c>
      <c r="O63" s="14"/>
      <c r="P63" s="1">
        <f>SUM(OSRRefP22_11x_0)</f>
        <v>29928.69</v>
      </c>
      <c r="Q63" s="1"/>
      <c r="R63" s="5">
        <f t="shared" si="41"/>
        <v>7.6239966589486344E-3</v>
      </c>
      <c r="S63" s="1"/>
      <c r="T63" s="1">
        <f>SUM(OSRRefT22_11x_0)</f>
        <v>23096.12</v>
      </c>
      <c r="U63" s="1"/>
      <c r="V63" s="5">
        <f t="shared" si="42"/>
        <v>4.6049100974530764E-2</v>
      </c>
      <c r="W63" s="1"/>
      <c r="X63" s="1">
        <f t="shared" si="43"/>
        <v>6832.57</v>
      </c>
      <c r="Y63" s="1"/>
      <c r="Z63" s="5">
        <f t="shared" si="44"/>
        <v>0.29583194060301038</v>
      </c>
    </row>
    <row r="64" spans="1:26" s="24" customFormat="1" hidden="1" outlineLevel="2" x14ac:dyDescent="0.25">
      <c r="A64" s="29"/>
      <c r="B64" s="11" t="str">
        <f>CONCATENATE("          ", "6314", " - ", "LIABILITY INSURANCE")</f>
        <v xml:space="preserve">          6314 - LIABILITY INSURANCE</v>
      </c>
      <c r="C64" s="11"/>
      <c r="D64" s="6">
        <v>12644.42</v>
      </c>
      <c r="E64" s="2"/>
      <c r="F64" s="7">
        <f t="shared" si="37"/>
        <v>7.0614025633089781E-3</v>
      </c>
      <c r="G64" s="2"/>
      <c r="H64" s="6">
        <v>10358.030000000001</v>
      </c>
      <c r="I64" s="2"/>
      <c r="J64" s="7">
        <f t="shared" si="38"/>
        <v>5.2935753822780332E-2</v>
      </c>
      <c r="K64" s="2"/>
      <c r="L64" s="6">
        <f t="shared" si="39"/>
        <v>2286.3899999999994</v>
      </c>
      <c r="M64" s="2"/>
      <c r="N64" s="7">
        <f t="shared" si="40"/>
        <v>0.22073598937249644</v>
      </c>
      <c r="O64" s="11"/>
      <c r="P64" s="6">
        <v>29928.69</v>
      </c>
      <c r="Q64" s="2"/>
      <c r="R64" s="7">
        <f t="shared" si="41"/>
        <v>7.6239966589486344E-3</v>
      </c>
      <c r="S64" s="2"/>
      <c r="T64" s="6">
        <v>23096.12</v>
      </c>
      <c r="U64" s="2"/>
      <c r="V64" s="7">
        <f t="shared" si="42"/>
        <v>4.6049100974530764E-2</v>
      </c>
      <c r="W64" s="2"/>
      <c r="X64" s="6">
        <f t="shared" si="43"/>
        <v>6832.57</v>
      </c>
      <c r="Y64" s="2"/>
      <c r="Z64" s="7">
        <f t="shared" si="44"/>
        <v>0.29583194060301038</v>
      </c>
    </row>
    <row r="65" spans="1:26" s="28" customFormat="1" outlineLevel="1" collapsed="1" x14ac:dyDescent="0.25">
      <c r="A65" s="27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SUM(OSRRefD22_12x_0)</f>
        <v>6739</v>
      </c>
      <c r="E65" s="1"/>
      <c r="F65" s="5">
        <f t="shared" si="37"/>
        <v>3.763461817476737E-3</v>
      </c>
      <c r="G65" s="1"/>
      <c r="H65" s="1">
        <f>SUM(OSRRefH22_12x_0)</f>
        <v>7023.15</v>
      </c>
      <c r="I65" s="1"/>
      <c r="J65" s="5">
        <f t="shared" si="38"/>
        <v>3.589251425806448E-2</v>
      </c>
      <c r="K65" s="1"/>
      <c r="L65" s="1">
        <f t="shared" si="39"/>
        <v>-284.14999999999964</v>
      </c>
      <c r="M65" s="1"/>
      <c r="N65" s="5">
        <f t="shared" si="40"/>
        <v>-4.0459053273815833E-2</v>
      </c>
      <c r="O65" s="14"/>
      <c r="P65" s="1">
        <f>SUM(OSRRefP22_12x_0)</f>
        <v>28498</v>
      </c>
      <c r="Q65" s="1"/>
      <c r="R65" s="5">
        <f t="shared" si="41"/>
        <v>7.2595444968262292E-3</v>
      </c>
      <c r="S65" s="1"/>
      <c r="T65" s="1">
        <f>SUM(OSRRefT22_12x_0)</f>
        <v>29553.15</v>
      </c>
      <c r="U65" s="1"/>
      <c r="V65" s="5">
        <f t="shared" si="42"/>
        <v>5.8923143301362051E-2</v>
      </c>
      <c r="W65" s="1"/>
      <c r="X65" s="1">
        <f t="shared" si="43"/>
        <v>-1055.1500000000015</v>
      </c>
      <c r="Y65" s="1"/>
      <c r="Z65" s="5">
        <f t="shared" si="44"/>
        <v>-3.5703469850083713E-2</v>
      </c>
    </row>
    <row r="66" spans="1:26" s="24" customFormat="1" hidden="1" outlineLevel="2" x14ac:dyDescent="0.25">
      <c r="A66" s="29"/>
      <c r="B66" s="11" t="str">
        <f>CONCATENATE("          ", "6401", " - ", "INTEREST EXPENSE")</f>
        <v xml:space="preserve">          6401 - INTEREST EXPENSE</v>
      </c>
      <c r="C66" s="11"/>
      <c r="D66" s="6">
        <v>6739</v>
      </c>
      <c r="E66" s="2"/>
      <c r="F66" s="7">
        <f t="shared" si="37"/>
        <v>3.763461817476737E-3</v>
      </c>
      <c r="G66" s="2"/>
      <c r="H66" s="6">
        <v>7023.15</v>
      </c>
      <c r="I66" s="2"/>
      <c r="J66" s="7">
        <f t="shared" si="38"/>
        <v>3.589251425806448E-2</v>
      </c>
      <c r="K66" s="2"/>
      <c r="L66" s="6">
        <f t="shared" si="39"/>
        <v>-284.14999999999964</v>
      </c>
      <c r="M66" s="2"/>
      <c r="N66" s="7">
        <f t="shared" si="40"/>
        <v>-4.0459053273815833E-2</v>
      </c>
      <c r="O66" s="11"/>
      <c r="P66" s="6">
        <v>28498</v>
      </c>
      <c r="Q66" s="2"/>
      <c r="R66" s="7">
        <f t="shared" si="41"/>
        <v>7.2595444968262292E-3</v>
      </c>
      <c r="S66" s="2"/>
      <c r="T66" s="6">
        <v>29553.15</v>
      </c>
      <c r="U66" s="2"/>
      <c r="V66" s="7">
        <f t="shared" si="42"/>
        <v>5.8923143301362051E-2</v>
      </c>
      <c r="W66" s="2"/>
      <c r="X66" s="6">
        <f t="shared" si="43"/>
        <v>-1055.1500000000015</v>
      </c>
      <c r="Y66" s="2"/>
      <c r="Z66" s="7">
        <f t="shared" si="44"/>
        <v>-3.5703469850083713E-2</v>
      </c>
    </row>
    <row r="67" spans="1:26" s="28" customFormat="1" outlineLevel="1" collapsed="1" x14ac:dyDescent="0.25">
      <c r="A67" s="27"/>
      <c r="B67" s="14" t="str">
        <f>CONCATENATE("     ","R/H Commissions                                   ")</f>
        <v xml:space="preserve">     R/H Commissions                                   </v>
      </c>
      <c r="C67" s="14"/>
      <c r="D67" s="1">
        <f>SUM(OSRRefD22_13x_0)</f>
        <v>127967.99</v>
      </c>
      <c r="E67" s="1"/>
      <c r="F67" s="5">
        <f t="shared" si="37"/>
        <v>7.1465001368785419E-2</v>
      </c>
      <c r="G67" s="1"/>
      <c r="H67" s="1">
        <f>SUM(OSRRefH22_13x_0)</f>
        <v>12242.68</v>
      </c>
      <c r="I67" s="1"/>
      <c r="J67" s="5">
        <f t="shared" si="38"/>
        <v>6.256744715076866E-2</v>
      </c>
      <c r="K67" s="1"/>
      <c r="L67" s="1">
        <f t="shared" si="39"/>
        <v>115725.31</v>
      </c>
      <c r="M67" s="1"/>
      <c r="N67" s="5">
        <f t="shared" si="40"/>
        <v>9.4526124998774765</v>
      </c>
      <c r="O67" s="14"/>
      <c r="P67" s="1">
        <f>SUM(OSRRefP22_13x_0)</f>
        <v>270770.98</v>
      </c>
      <c r="Q67" s="1"/>
      <c r="R67" s="5">
        <f t="shared" si="41"/>
        <v>6.8975857174512073E-2</v>
      </c>
      <c r="S67" s="1"/>
      <c r="T67" s="1">
        <f>SUM(OSRRefT22_13x_0)</f>
        <v>28720.2</v>
      </c>
      <c r="U67" s="1"/>
      <c r="V67" s="5">
        <f t="shared" si="42"/>
        <v>5.7262405538623745E-2</v>
      </c>
      <c r="W67" s="1"/>
      <c r="X67" s="1">
        <f t="shared" si="43"/>
        <v>242050.77999999997</v>
      </c>
      <c r="Y67" s="1"/>
      <c r="Z67" s="5">
        <f t="shared" si="44"/>
        <v>8.4278932597962388</v>
      </c>
    </row>
    <row r="68" spans="1:26" s="24" customFormat="1" hidden="1" outlineLevel="2" x14ac:dyDescent="0.25">
      <c r="A68" s="29"/>
      <c r="B68" s="11" t="str">
        <f>CONCATENATE("          ", "6387", " - ", "COMMISSION DUE HOUSING")</f>
        <v xml:space="preserve">          6387 - COMMISSION DUE HOUSING</v>
      </c>
      <c r="C68" s="11"/>
      <c r="D68" s="6">
        <v>127967.99</v>
      </c>
      <c r="E68" s="2"/>
      <c r="F68" s="7">
        <f t="shared" si="37"/>
        <v>7.1465001368785419E-2</v>
      </c>
      <c r="G68" s="2"/>
      <c r="H68" s="6">
        <v>12242.68</v>
      </c>
      <c r="I68" s="2"/>
      <c r="J68" s="7">
        <f t="shared" si="38"/>
        <v>6.256744715076866E-2</v>
      </c>
      <c r="K68" s="2"/>
      <c r="L68" s="6">
        <f t="shared" si="39"/>
        <v>115725.31</v>
      </c>
      <c r="M68" s="2"/>
      <c r="N68" s="7">
        <f t="shared" si="40"/>
        <v>9.4526124998774765</v>
      </c>
      <c r="O68" s="11"/>
      <c r="P68" s="6">
        <v>270770.98</v>
      </c>
      <c r="Q68" s="2"/>
      <c r="R68" s="7">
        <f t="shared" si="41"/>
        <v>6.8975857174512073E-2</v>
      </c>
      <c r="S68" s="2"/>
      <c r="T68" s="6">
        <v>28720.2</v>
      </c>
      <c r="U68" s="2"/>
      <c r="V68" s="7">
        <f t="shared" si="42"/>
        <v>5.7262405538623745E-2</v>
      </c>
      <c r="W68" s="2"/>
      <c r="X68" s="6">
        <f t="shared" si="43"/>
        <v>242050.77999999997</v>
      </c>
      <c r="Y68" s="2"/>
      <c r="Z68" s="7">
        <f t="shared" si="44"/>
        <v>8.4278932597962388</v>
      </c>
    </row>
    <row r="69" spans="1:26" s="28" customFormat="1" outlineLevel="1" collapsed="1" x14ac:dyDescent="0.25">
      <c r="A69" s="27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SUM(OSRRefD22_14x_0)</f>
        <v>1850</v>
      </c>
      <c r="E69" s="1"/>
      <c r="F69" s="5">
        <f t="shared" si="37"/>
        <v>1.0331509663647372E-3</v>
      </c>
      <c r="G69" s="1"/>
      <c r="H69" s="1">
        <f>SUM(OSRRefH22_14x_0)</f>
        <v>0</v>
      </c>
      <c r="I69" s="1"/>
      <c r="J69" s="5">
        <f t="shared" si="38"/>
        <v>0</v>
      </c>
      <c r="K69" s="1"/>
      <c r="L69" s="1">
        <f t="shared" si="39"/>
        <v>1850</v>
      </c>
      <c r="M69" s="1"/>
      <c r="N69" s="5">
        <f t="shared" si="40"/>
        <v>0</v>
      </c>
      <c r="O69" s="14"/>
      <c r="P69" s="1">
        <f>SUM(OSRRefP22_14x_0)</f>
        <v>7400</v>
      </c>
      <c r="Q69" s="1"/>
      <c r="R69" s="5">
        <f t="shared" si="41"/>
        <v>1.8850666459581057E-3</v>
      </c>
      <c r="S69" s="1"/>
      <c r="T69" s="1">
        <f>SUM(OSRRefT22_14x_0)</f>
        <v>5550</v>
      </c>
      <c r="U69" s="1"/>
      <c r="V69" s="5">
        <f t="shared" si="42"/>
        <v>1.1065603677528769E-2</v>
      </c>
      <c r="W69" s="1"/>
      <c r="X69" s="1">
        <f t="shared" si="43"/>
        <v>1850</v>
      </c>
      <c r="Y69" s="1"/>
      <c r="Z69" s="5">
        <f t="shared" si="44"/>
        <v>0.33333333333333331</v>
      </c>
    </row>
    <row r="70" spans="1:26" s="24" customFormat="1" hidden="1" outlineLevel="2" x14ac:dyDescent="0.25">
      <c r="A70" s="29"/>
      <c r="B70" s="11" t="str">
        <f>CONCATENATE("          ", "6273", " - ", "RENT")</f>
        <v xml:space="preserve">          6273 - RENT</v>
      </c>
      <c r="C70" s="11"/>
      <c r="D70" s="6">
        <v>1850</v>
      </c>
      <c r="E70" s="2"/>
      <c r="F70" s="7">
        <f t="shared" si="37"/>
        <v>1.0331509663647372E-3</v>
      </c>
      <c r="G70" s="2"/>
      <c r="H70" s="6"/>
      <c r="I70" s="2"/>
      <c r="J70" s="7">
        <f t="shared" si="38"/>
        <v>0</v>
      </c>
      <c r="K70" s="2"/>
      <c r="L70" s="6">
        <f t="shared" si="39"/>
        <v>1850</v>
      </c>
      <c r="M70" s="2"/>
      <c r="N70" s="7">
        <f t="shared" si="40"/>
        <v>0</v>
      </c>
      <c r="O70" s="11"/>
      <c r="P70" s="6">
        <v>7400</v>
      </c>
      <c r="Q70" s="2"/>
      <c r="R70" s="7">
        <f t="shared" si="41"/>
        <v>1.8850666459581057E-3</v>
      </c>
      <c r="S70" s="2"/>
      <c r="T70" s="6">
        <v>5550</v>
      </c>
      <c r="U70" s="2"/>
      <c r="V70" s="7">
        <f t="shared" si="42"/>
        <v>1.1065603677528769E-2</v>
      </c>
      <c r="W70" s="2"/>
      <c r="X70" s="6">
        <f t="shared" si="43"/>
        <v>1850</v>
      </c>
      <c r="Y70" s="2"/>
      <c r="Z70" s="7">
        <f t="shared" si="44"/>
        <v>0.33333333333333331</v>
      </c>
    </row>
    <row r="71" spans="1:26" s="28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SUM(OSRRefD22_15x_0)</f>
        <v>14678.15</v>
      </c>
      <c r="E71" s="1"/>
      <c r="F71" s="5">
        <f t="shared" si="37"/>
        <v>8.1971593821332789E-3</v>
      </c>
      <c r="G71" s="1"/>
      <c r="H71" s="1">
        <f>SUM(OSRRefH22_15x_0)</f>
        <v>4413.82</v>
      </c>
      <c r="I71" s="1"/>
      <c r="J71" s="5">
        <f t="shared" si="38"/>
        <v>2.2557270922951976E-2</v>
      </c>
      <c r="K71" s="1"/>
      <c r="L71" s="1">
        <f t="shared" si="39"/>
        <v>10264.33</v>
      </c>
      <c r="M71" s="1"/>
      <c r="N71" s="5">
        <f t="shared" si="40"/>
        <v>2.3254980946209862</v>
      </c>
      <c r="O71" s="14"/>
      <c r="P71" s="1">
        <f>SUM(OSRRefP22_15x_0)</f>
        <v>54948.59</v>
      </c>
      <c r="Q71" s="1"/>
      <c r="R71" s="5">
        <f t="shared" si="41"/>
        <v>1.3997534358300959E-2</v>
      </c>
      <c r="S71" s="1"/>
      <c r="T71" s="1">
        <f>SUM(OSRRefT22_15x_0)</f>
        <v>18335.05</v>
      </c>
      <c r="U71" s="1"/>
      <c r="V71" s="5">
        <f t="shared" si="42"/>
        <v>3.655646787525655E-2</v>
      </c>
      <c r="W71" s="1"/>
      <c r="X71" s="1">
        <f t="shared" si="43"/>
        <v>36613.539999999994</v>
      </c>
      <c r="Y71" s="1"/>
      <c r="Z71" s="5">
        <f t="shared" si="44"/>
        <v>1.9969151979405562</v>
      </c>
    </row>
    <row r="72" spans="1:26" s="24" customFormat="1" hidden="1" outlineLevel="2" x14ac:dyDescent="0.2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3659.68</v>
      </c>
      <c r="E72" s="2"/>
      <c r="F72" s="7">
        <f t="shared" si="37"/>
        <v>2.0437848262625409E-3</v>
      </c>
      <c r="G72" s="2"/>
      <c r="H72" s="6"/>
      <c r="I72" s="2"/>
      <c r="J72" s="7">
        <f t="shared" si="38"/>
        <v>0</v>
      </c>
      <c r="K72" s="2"/>
      <c r="L72" s="6">
        <f t="shared" si="39"/>
        <v>3659.68</v>
      </c>
      <c r="M72" s="2"/>
      <c r="N72" s="7">
        <f t="shared" si="40"/>
        <v>0</v>
      </c>
      <c r="O72" s="11"/>
      <c r="P72" s="6">
        <v>19337.400000000001</v>
      </c>
      <c r="Q72" s="2"/>
      <c r="R72" s="7">
        <f t="shared" si="41"/>
        <v>4.925984832371659E-3</v>
      </c>
      <c r="S72" s="2"/>
      <c r="T72" s="6"/>
      <c r="U72" s="2"/>
      <c r="V72" s="7">
        <f t="shared" si="42"/>
        <v>0</v>
      </c>
      <c r="W72" s="2"/>
      <c r="X72" s="6">
        <f t="shared" si="43"/>
        <v>19337.400000000001</v>
      </c>
      <c r="Y72" s="2"/>
      <c r="Z72" s="7">
        <f t="shared" si="44"/>
        <v>0</v>
      </c>
    </row>
    <row r="73" spans="1:26" s="24" customFormat="1" hidden="1" outlineLevel="2" x14ac:dyDescent="0.25">
      <c r="A73" s="29"/>
      <c r="B73" s="11" t="str">
        <f>CONCATENATE("          ", "6373", " - ", "MAINTENANCE CONTRACTS")</f>
        <v xml:space="preserve">          6373 - MAINTENANCE CONTRACTS</v>
      </c>
      <c r="C73" s="11"/>
      <c r="D73" s="6">
        <v>2983.57</v>
      </c>
      <c r="E73" s="2"/>
      <c r="F73" s="7">
        <f t="shared" si="37"/>
        <v>1.666204447955048E-3</v>
      </c>
      <c r="G73" s="2"/>
      <c r="H73" s="6">
        <v>3197.29</v>
      </c>
      <c r="I73" s="2"/>
      <c r="J73" s="7">
        <f t="shared" si="38"/>
        <v>1.6340072034936884E-2</v>
      </c>
      <c r="K73" s="2"/>
      <c r="L73" s="6">
        <f t="shared" si="39"/>
        <v>-213.7199999999998</v>
      </c>
      <c r="M73" s="2"/>
      <c r="N73" s="7">
        <f t="shared" si="40"/>
        <v>-6.6844108604474359E-2</v>
      </c>
      <c r="O73" s="11"/>
      <c r="P73" s="6">
        <v>4123.87</v>
      </c>
      <c r="Q73" s="2"/>
      <c r="R73" s="7">
        <f t="shared" si="41"/>
        <v>1.0505094309820613E-3</v>
      </c>
      <c r="S73" s="2"/>
      <c r="T73" s="6">
        <v>11603.48</v>
      </c>
      <c r="U73" s="2"/>
      <c r="V73" s="7">
        <f t="shared" si="42"/>
        <v>2.3135047019843518E-2</v>
      </c>
      <c r="W73" s="2"/>
      <c r="X73" s="6">
        <f t="shared" si="43"/>
        <v>-7479.61</v>
      </c>
      <c r="Y73" s="2"/>
      <c r="Z73" s="7">
        <f t="shared" si="44"/>
        <v>-0.64460058534163889</v>
      </c>
    </row>
    <row r="74" spans="1:26" s="24" customFormat="1" hidden="1" outlineLevel="2" x14ac:dyDescent="0.25">
      <c r="A74" s="29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8034.9</v>
      </c>
      <c r="E74" s="2"/>
      <c r="F74" s="7">
        <f t="shared" si="37"/>
        <v>4.4871701079156898E-3</v>
      </c>
      <c r="G74" s="2"/>
      <c r="H74" s="6">
        <v>1216.53</v>
      </c>
      <c r="I74" s="2"/>
      <c r="J74" s="7">
        <f t="shared" si="38"/>
        <v>6.2171988880150904E-3</v>
      </c>
      <c r="K74" s="2"/>
      <c r="L74" s="6">
        <f t="shared" si="39"/>
        <v>6818.37</v>
      </c>
      <c r="M74" s="2"/>
      <c r="N74" s="7">
        <f t="shared" si="40"/>
        <v>5.6047693028531969</v>
      </c>
      <c r="O74" s="11"/>
      <c r="P74" s="6">
        <v>31487.32</v>
      </c>
      <c r="Q74" s="2"/>
      <c r="R74" s="7">
        <f t="shared" si="41"/>
        <v>8.0210400949472412E-3</v>
      </c>
      <c r="S74" s="2"/>
      <c r="T74" s="6">
        <v>6731.57</v>
      </c>
      <c r="U74" s="2"/>
      <c r="V74" s="7">
        <f t="shared" si="42"/>
        <v>1.3421420855413034E-2</v>
      </c>
      <c r="W74" s="2"/>
      <c r="X74" s="6">
        <f t="shared" si="43"/>
        <v>24755.75</v>
      </c>
      <c r="Y74" s="2"/>
      <c r="Z74" s="7">
        <f t="shared" si="44"/>
        <v>3.6775596183356929</v>
      </c>
    </row>
    <row r="75" spans="1:26" s="28" customFormat="1" outlineLevel="1" collapsed="1" x14ac:dyDescent="0.25">
      <c r="A75" s="27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SUM(OSRRefD22_16x_0)</f>
        <v>1066.22</v>
      </c>
      <c r="E75" s="1"/>
      <c r="F75" s="5">
        <f t="shared" ref="F75:F81" si="45">IF(D$12=0,0,D75/D$12)</f>
        <v>5.9544120181481621E-4</v>
      </c>
      <c r="G75" s="1"/>
      <c r="H75" s="1">
        <f>SUM(OSRRefH22_16x_0)</f>
        <v>0</v>
      </c>
      <c r="I75" s="1"/>
      <c r="J75" s="5">
        <f t="shared" ref="J75:J81" si="46">IF(H$12=0,0,H75/H$12)</f>
        <v>0</v>
      </c>
      <c r="K75" s="1"/>
      <c r="L75" s="1">
        <f t="shared" ref="L75:L81" si="47">+D75-H75</f>
        <v>1066.22</v>
      </c>
      <c r="M75" s="1"/>
      <c r="N75" s="5">
        <f t="shared" ref="N75:N81" si="48">IF(H75=0,0,L75/H75)</f>
        <v>0</v>
      </c>
      <c r="O75" s="14"/>
      <c r="P75" s="1">
        <f>SUM(OSRRefP22_16x_0)</f>
        <v>1066.22</v>
      </c>
      <c r="Q75" s="1"/>
      <c r="R75" s="5">
        <f t="shared" ref="R75:R81" si="49">IF(P$12=0,0,P75/P$12)</f>
        <v>2.7160753503425018E-4</v>
      </c>
      <c r="S75" s="1"/>
      <c r="T75" s="1">
        <f>SUM(OSRRefT22_16x_0)</f>
        <v>0</v>
      </c>
      <c r="U75" s="1"/>
      <c r="V75" s="5">
        <f t="shared" ref="V75:V81" si="50">IF(T$12=0,0,T75/T$12)</f>
        <v>0</v>
      </c>
      <c r="W75" s="1"/>
      <c r="X75" s="1">
        <f t="shared" ref="X75:X81" si="51">+P75-T75</f>
        <v>1066.22</v>
      </c>
      <c r="Y75" s="1"/>
      <c r="Z75" s="5">
        <f t="shared" ref="Z75:Z81" si="52">IF(T75=0,0,X75/T75)</f>
        <v>0</v>
      </c>
    </row>
    <row r="76" spans="1:26" s="24" customFormat="1" hidden="1" outlineLevel="2" x14ac:dyDescent="0.25">
      <c r="A76" s="29"/>
      <c r="B76" s="11" t="str">
        <f>CONCATENATE("          ", "6254", " - ", "ROYALTY &amp; COMMISSIONS")</f>
        <v xml:space="preserve">          6254 - ROYALTY &amp; COMMISSIONS</v>
      </c>
      <c r="C76" s="11"/>
      <c r="D76" s="6">
        <v>1066.22</v>
      </c>
      <c r="E76" s="2"/>
      <c r="F76" s="7">
        <f t="shared" si="45"/>
        <v>5.9544120181481621E-4</v>
      </c>
      <c r="G76" s="2"/>
      <c r="H76" s="6"/>
      <c r="I76" s="2"/>
      <c r="J76" s="7">
        <f t="shared" si="46"/>
        <v>0</v>
      </c>
      <c r="K76" s="2"/>
      <c r="L76" s="6">
        <f t="shared" si="47"/>
        <v>1066.22</v>
      </c>
      <c r="M76" s="2"/>
      <c r="N76" s="7">
        <f t="shared" si="48"/>
        <v>0</v>
      </c>
      <c r="O76" s="11"/>
      <c r="P76" s="6">
        <v>1066.22</v>
      </c>
      <c r="Q76" s="2"/>
      <c r="R76" s="7">
        <f t="shared" si="49"/>
        <v>2.7160753503425018E-4</v>
      </c>
      <c r="S76" s="2"/>
      <c r="T76" s="6"/>
      <c r="U76" s="2"/>
      <c r="V76" s="7">
        <f t="shared" si="50"/>
        <v>0</v>
      </c>
      <c r="W76" s="2"/>
      <c r="X76" s="6">
        <f t="shared" si="51"/>
        <v>1066.22</v>
      </c>
      <c r="Y76" s="2"/>
      <c r="Z76" s="7">
        <f t="shared" si="52"/>
        <v>0</v>
      </c>
    </row>
    <row r="77" spans="1:26" s="28" customFormat="1" outlineLevel="1" collapsed="1" x14ac:dyDescent="0.25">
      <c r="A77" s="27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SUM(OSRRefD22_17x_0)</f>
        <v>29062.21</v>
      </c>
      <c r="E77" s="1"/>
      <c r="F77" s="5">
        <f t="shared" si="45"/>
        <v>1.6230081268213473E-2</v>
      </c>
      <c r="G77" s="1"/>
      <c r="H77" s="1">
        <f>SUM(OSRRefH22_17x_0)</f>
        <v>18350.830000000002</v>
      </c>
      <c r="I77" s="1"/>
      <c r="J77" s="5">
        <f t="shared" si="46"/>
        <v>9.3783761904888477E-2</v>
      </c>
      <c r="K77" s="1"/>
      <c r="L77" s="1">
        <f t="shared" si="47"/>
        <v>10711.379999999997</v>
      </c>
      <c r="M77" s="1"/>
      <c r="N77" s="5">
        <f t="shared" si="48"/>
        <v>0.58370002882703376</v>
      </c>
      <c r="O77" s="14"/>
      <c r="P77" s="1">
        <f>SUM(OSRRefP22_17x_0)</f>
        <v>98039.32</v>
      </c>
      <c r="Q77" s="1"/>
      <c r="R77" s="5">
        <f t="shared" si="49"/>
        <v>2.4974412449245059E-2</v>
      </c>
      <c r="S77" s="1"/>
      <c r="T77" s="1">
        <f>SUM(OSRRefT22_17x_0)</f>
        <v>60645.140000000007</v>
      </c>
      <c r="U77" s="1"/>
      <c r="V77" s="5">
        <f t="shared" si="50"/>
        <v>0.12091442958707156</v>
      </c>
      <c r="W77" s="1"/>
      <c r="X77" s="1">
        <f t="shared" si="51"/>
        <v>37394.18</v>
      </c>
      <c r="Y77" s="1"/>
      <c r="Z77" s="5">
        <f t="shared" si="52"/>
        <v>0.61660637604266388</v>
      </c>
    </row>
    <row r="78" spans="1:26" s="24" customFormat="1" hidden="1" outlineLevel="2" x14ac:dyDescent="0.25">
      <c r="A78" s="29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4857.59</v>
      </c>
      <c r="E78" s="2"/>
      <c r="F78" s="7">
        <f t="shared" si="45"/>
        <v>2.712769623083072E-3</v>
      </c>
      <c r="G78" s="2"/>
      <c r="H78" s="6">
        <v>2597.6799999999998</v>
      </c>
      <c r="I78" s="2"/>
      <c r="J78" s="7">
        <f t="shared" si="46"/>
        <v>1.327570483869616E-2</v>
      </c>
      <c r="K78" s="2"/>
      <c r="L78" s="6">
        <f t="shared" si="47"/>
        <v>2259.9100000000003</v>
      </c>
      <c r="M78" s="2"/>
      <c r="N78" s="7">
        <f t="shared" si="48"/>
        <v>0.86997243694373461</v>
      </c>
      <c r="O78" s="11"/>
      <c r="P78" s="6">
        <v>11837.3</v>
      </c>
      <c r="Q78" s="2"/>
      <c r="R78" s="7">
        <f t="shared" si="49"/>
        <v>3.0154188389459303E-3</v>
      </c>
      <c r="S78" s="2"/>
      <c r="T78" s="6">
        <v>5510.66</v>
      </c>
      <c r="U78" s="2"/>
      <c r="V78" s="7">
        <f t="shared" si="50"/>
        <v>1.0987167488578501E-2</v>
      </c>
      <c r="W78" s="2"/>
      <c r="X78" s="6">
        <f t="shared" si="51"/>
        <v>6326.6399999999994</v>
      </c>
      <c r="Y78" s="2"/>
      <c r="Z78" s="7">
        <f t="shared" si="52"/>
        <v>1.1480730075889276</v>
      </c>
    </row>
    <row r="79" spans="1:26" s="24" customFormat="1" hidden="1" outlineLevel="2" x14ac:dyDescent="0.25">
      <c r="A79" s="29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45"/>
        <v>0</v>
      </c>
      <c r="G79" s="2"/>
      <c r="H79" s="6">
        <v>5369</v>
      </c>
      <c r="I79" s="2"/>
      <c r="J79" s="7">
        <f t="shared" si="46"/>
        <v>2.7438814357026151E-2</v>
      </c>
      <c r="K79" s="2"/>
      <c r="L79" s="6">
        <f t="shared" si="47"/>
        <v>-5369</v>
      </c>
      <c r="M79" s="2"/>
      <c r="N79" s="7">
        <f t="shared" si="48"/>
        <v>-1</v>
      </c>
      <c r="O79" s="11"/>
      <c r="P79" s="6"/>
      <c r="Q79" s="2"/>
      <c r="R79" s="7">
        <f t="shared" si="49"/>
        <v>0</v>
      </c>
      <c r="S79" s="2"/>
      <c r="T79" s="6">
        <v>8130</v>
      </c>
      <c r="U79" s="2"/>
      <c r="V79" s="7">
        <f t="shared" si="50"/>
        <v>1.6209614035731332E-2</v>
      </c>
      <c r="W79" s="2"/>
      <c r="X79" s="6">
        <f t="shared" si="51"/>
        <v>-8130</v>
      </c>
      <c r="Y79" s="2"/>
      <c r="Z79" s="7">
        <f t="shared" si="52"/>
        <v>-1</v>
      </c>
    </row>
    <row r="80" spans="1:26" s="24" customFormat="1" hidden="1" outlineLevel="2" x14ac:dyDescent="0.25">
      <c r="A80" s="29"/>
      <c r="B80" s="11" t="str">
        <f>CONCATENATE("          ", "6285", " - ", "JANITORIAL SERVICES")</f>
        <v xml:space="preserve">          6285 - JANITORIAL SERVICES</v>
      </c>
      <c r="C80" s="11"/>
      <c r="D80" s="6">
        <v>16872.43</v>
      </c>
      <c r="E80" s="2"/>
      <c r="F80" s="7">
        <f t="shared" si="45"/>
        <v>9.4225769510385849E-3</v>
      </c>
      <c r="G80" s="2"/>
      <c r="H80" s="6">
        <v>8351.15</v>
      </c>
      <c r="I80" s="2"/>
      <c r="J80" s="7">
        <f t="shared" si="46"/>
        <v>4.26793917894727E-2</v>
      </c>
      <c r="K80" s="2"/>
      <c r="L80" s="6">
        <f t="shared" si="47"/>
        <v>8521.2800000000007</v>
      </c>
      <c r="M80" s="2"/>
      <c r="N80" s="7">
        <f t="shared" si="48"/>
        <v>1.0203720445687121</v>
      </c>
      <c r="O80" s="11"/>
      <c r="P80" s="6">
        <v>73906.66</v>
      </c>
      <c r="Q80" s="2"/>
      <c r="R80" s="7">
        <f t="shared" si="49"/>
        <v>1.8826889145968393E-2</v>
      </c>
      <c r="S80" s="2"/>
      <c r="T80" s="6">
        <v>39011.61</v>
      </c>
      <c r="U80" s="2"/>
      <c r="V80" s="7">
        <f t="shared" si="50"/>
        <v>7.778144415897624E-2</v>
      </c>
      <c r="W80" s="2"/>
      <c r="X80" s="6">
        <f t="shared" si="51"/>
        <v>34895.050000000003</v>
      </c>
      <c r="Y80" s="2"/>
      <c r="Z80" s="7">
        <f t="shared" si="52"/>
        <v>0.89447859239851935</v>
      </c>
    </row>
    <row r="81" spans="1:26" s="24" customFormat="1" hidden="1" outlineLevel="2" x14ac:dyDescent="0.25">
      <c r="A81" s="29"/>
      <c r="B81" s="11" t="str">
        <f>CONCATENATE("          ", "6286", " - ", "LAUNDRY EXPENSE")</f>
        <v xml:space="preserve">          6286 - LAUNDRY EXPENSE</v>
      </c>
      <c r="C81" s="11"/>
      <c r="D81" s="6">
        <v>7332.19</v>
      </c>
      <c r="E81" s="2"/>
      <c r="F81" s="7">
        <f t="shared" si="45"/>
        <v>4.0947346940918171E-3</v>
      </c>
      <c r="G81" s="2"/>
      <c r="H81" s="6">
        <v>2033</v>
      </c>
      <c r="I81" s="2"/>
      <c r="J81" s="7">
        <f t="shared" si="46"/>
        <v>1.0389850919693456E-2</v>
      </c>
      <c r="K81" s="2"/>
      <c r="L81" s="6">
        <f t="shared" si="47"/>
        <v>5299.19</v>
      </c>
      <c r="M81" s="2"/>
      <c r="N81" s="7">
        <f t="shared" si="48"/>
        <v>2.606586325627152</v>
      </c>
      <c r="O81" s="11"/>
      <c r="P81" s="6">
        <v>12295.36</v>
      </c>
      <c r="Q81" s="2"/>
      <c r="R81" s="7">
        <f t="shared" si="49"/>
        <v>3.1321044643307372E-3</v>
      </c>
      <c r="S81" s="2"/>
      <c r="T81" s="6">
        <v>7992.87</v>
      </c>
      <c r="U81" s="2"/>
      <c r="V81" s="7">
        <f t="shared" si="50"/>
        <v>1.5936203903785473E-2</v>
      </c>
      <c r="W81" s="2"/>
      <c r="X81" s="6">
        <f t="shared" si="51"/>
        <v>4302.4900000000007</v>
      </c>
      <c r="Y81" s="2"/>
      <c r="Z81" s="7">
        <f t="shared" si="52"/>
        <v>0.53829100185540368</v>
      </c>
    </row>
    <row r="82" spans="1:26" s="28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SUM(OSRRefD22_18x_0)</f>
        <v>813.81</v>
      </c>
      <c r="E82" s="1"/>
      <c r="F82" s="5">
        <f t="shared" ref="F82:F93" si="53">IF(D$12=0,0,D82/D$12)</f>
        <v>4.5448031780393871E-4</v>
      </c>
      <c r="G82" s="1"/>
      <c r="H82" s="1">
        <f>SUM(OSRRefH22_18x_0)</f>
        <v>130.66999999999999</v>
      </c>
      <c r="I82" s="1"/>
      <c r="J82" s="5">
        <f t="shared" ref="J82:J93" si="54">IF(H$12=0,0,H82/H$12)</f>
        <v>6.6780217396770472E-4</v>
      </c>
      <c r="K82" s="1"/>
      <c r="L82" s="1">
        <f t="shared" ref="L82:L93" si="55">+D82-H82</f>
        <v>683.14</v>
      </c>
      <c r="M82" s="1"/>
      <c r="N82" s="5">
        <f t="shared" ref="N82:N93" si="56">IF(H82=0,0,L82/H82)</f>
        <v>5.2279788780898446</v>
      </c>
      <c r="O82" s="14"/>
      <c r="P82" s="1">
        <f>SUM(OSRRefP22_18x_0)</f>
        <v>1947</v>
      </c>
      <c r="Q82" s="1"/>
      <c r="R82" s="5">
        <f t="shared" ref="R82:R93" si="57">IF(P$12=0,0,P82/P$12)</f>
        <v>4.9597631887573405E-4</v>
      </c>
      <c r="S82" s="1"/>
      <c r="T82" s="1">
        <f>SUM(OSRRefT22_18x_0)</f>
        <v>271.33</v>
      </c>
      <c r="U82" s="1"/>
      <c r="V82" s="5">
        <f t="shared" ref="V82:V93" si="58">IF(T$12=0,0,T82/T$12)</f>
        <v>5.4097842267096952E-4</v>
      </c>
      <c r="W82" s="1"/>
      <c r="X82" s="1">
        <f t="shared" ref="X82:X93" si="59">+P82-T82</f>
        <v>1675.67</v>
      </c>
      <c r="Y82" s="1"/>
      <c r="Z82" s="5">
        <f t="shared" ref="Z82:Z93" si="60">IF(T82=0,0,X82/T82)</f>
        <v>6.1757638300224826</v>
      </c>
    </row>
    <row r="83" spans="1:26" s="24" customFormat="1" hidden="1" outlineLevel="2" x14ac:dyDescent="0.25">
      <c r="A83" s="29"/>
      <c r="B83" s="11" t="str">
        <f>CONCATENATE("          ", "6275", " - ", "SUBSCRIPTIONS")</f>
        <v xml:space="preserve">          6275 - SUBSCRIPTIONS</v>
      </c>
      <c r="C83" s="11"/>
      <c r="D83" s="6">
        <v>813.81</v>
      </c>
      <c r="E83" s="2"/>
      <c r="F83" s="7">
        <f t="shared" si="53"/>
        <v>4.5448031780393871E-4</v>
      </c>
      <c r="G83" s="2"/>
      <c r="H83" s="6">
        <v>130.66999999999999</v>
      </c>
      <c r="I83" s="2"/>
      <c r="J83" s="7">
        <f t="shared" si="54"/>
        <v>6.6780217396770472E-4</v>
      </c>
      <c r="K83" s="2"/>
      <c r="L83" s="6">
        <f t="shared" si="55"/>
        <v>683.14</v>
      </c>
      <c r="M83" s="2"/>
      <c r="N83" s="7">
        <f t="shared" si="56"/>
        <v>5.2279788780898446</v>
      </c>
      <c r="O83" s="11"/>
      <c r="P83" s="6">
        <v>1947</v>
      </c>
      <c r="Q83" s="2"/>
      <c r="R83" s="7">
        <f t="shared" si="57"/>
        <v>4.9597631887573405E-4</v>
      </c>
      <c r="S83" s="2"/>
      <c r="T83" s="6">
        <v>271.33</v>
      </c>
      <c r="U83" s="2"/>
      <c r="V83" s="7">
        <f t="shared" si="58"/>
        <v>5.4097842267096952E-4</v>
      </c>
      <c r="W83" s="2"/>
      <c r="X83" s="6">
        <f t="shared" si="59"/>
        <v>1675.67</v>
      </c>
      <c r="Y83" s="2"/>
      <c r="Z83" s="7">
        <f t="shared" si="60"/>
        <v>6.1757638300224826</v>
      </c>
    </row>
    <row r="84" spans="1:26" s="28" customFormat="1" outlineLevel="1" collapsed="1" x14ac:dyDescent="0.25">
      <c r="A84" s="27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SUM(OSRRefD22_19x_0)</f>
        <v>90468.74</v>
      </c>
      <c r="E84" s="1"/>
      <c r="F84" s="5">
        <f t="shared" si="53"/>
        <v>5.0523170895567647E-2</v>
      </c>
      <c r="G84" s="1"/>
      <c r="H84" s="1">
        <f>SUM(OSRRefH22_19x_0)</f>
        <v>25971.449999999997</v>
      </c>
      <c r="I84" s="1"/>
      <c r="J84" s="5">
        <f t="shared" si="54"/>
        <v>0.13272970667401504</v>
      </c>
      <c r="K84" s="1"/>
      <c r="L84" s="1">
        <f t="shared" si="55"/>
        <v>64497.290000000008</v>
      </c>
      <c r="M84" s="1"/>
      <c r="N84" s="5">
        <f t="shared" si="56"/>
        <v>2.4833919553971771</v>
      </c>
      <c r="O84" s="14"/>
      <c r="P84" s="1">
        <f>SUM(OSRRefP22_19x_0)</f>
        <v>175051.89</v>
      </c>
      <c r="Q84" s="1"/>
      <c r="R84" s="5">
        <f t="shared" si="57"/>
        <v>4.4592497182557742E-2</v>
      </c>
      <c r="S84" s="1"/>
      <c r="T84" s="1">
        <f>SUM(OSRRefT22_19x_0)</f>
        <v>32970.230000000003</v>
      </c>
      <c r="U84" s="1"/>
      <c r="V84" s="5">
        <f t="shared" si="58"/>
        <v>6.5736125826480973E-2</v>
      </c>
      <c r="W84" s="1"/>
      <c r="X84" s="1">
        <f t="shared" si="59"/>
        <v>142081.66</v>
      </c>
      <c r="Y84" s="1"/>
      <c r="Z84" s="5">
        <f t="shared" si="60"/>
        <v>4.3093924428188704</v>
      </c>
    </row>
    <row r="85" spans="1:26" s="24" customFormat="1" hidden="1" outlineLevel="2" x14ac:dyDescent="0.25">
      <c r="A85" s="29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53"/>
        <v>0</v>
      </c>
      <c r="G85" s="2"/>
      <c r="H85" s="6">
        <v>55.13</v>
      </c>
      <c r="I85" s="2"/>
      <c r="J85" s="7">
        <f t="shared" si="54"/>
        <v>2.8174740836335474E-4</v>
      </c>
      <c r="K85" s="2"/>
      <c r="L85" s="6">
        <f t="shared" si="55"/>
        <v>-55.13</v>
      </c>
      <c r="M85" s="2"/>
      <c r="N85" s="7">
        <f t="shared" si="56"/>
        <v>-1</v>
      </c>
      <c r="O85" s="11"/>
      <c r="P85" s="6">
        <v>21.98</v>
      </c>
      <c r="Q85" s="2"/>
      <c r="R85" s="7">
        <f t="shared" si="57"/>
        <v>5.5991574159674547E-6</v>
      </c>
      <c r="S85" s="2"/>
      <c r="T85" s="6">
        <v>310.91000000000003</v>
      </c>
      <c r="U85" s="2"/>
      <c r="V85" s="7">
        <f t="shared" si="58"/>
        <v>6.1989312421269725E-4</v>
      </c>
      <c r="W85" s="2"/>
      <c r="X85" s="6">
        <f t="shared" si="59"/>
        <v>-288.93</v>
      </c>
      <c r="Y85" s="2"/>
      <c r="Z85" s="7">
        <f t="shared" si="60"/>
        <v>-0.92930430027982369</v>
      </c>
    </row>
    <row r="86" spans="1:26" s="24" customFormat="1" hidden="1" outlineLevel="2" x14ac:dyDescent="0.25">
      <c r="A86" s="29"/>
      <c r="B86" s="11" t="str">
        <f>CONCATENATE("          ", "6235", " - ", "COVID-19 EXPENSES")</f>
        <v xml:space="preserve">          6235 - COVID-19 EXPENSES</v>
      </c>
      <c r="C86" s="11"/>
      <c r="D86" s="6"/>
      <c r="E86" s="2"/>
      <c r="F86" s="7">
        <f t="shared" si="53"/>
        <v>0</v>
      </c>
      <c r="G86" s="2"/>
      <c r="H86" s="6">
        <v>19427.55</v>
      </c>
      <c r="I86" s="2"/>
      <c r="J86" s="7">
        <f t="shared" si="54"/>
        <v>9.9286447729901903E-2</v>
      </c>
      <c r="K86" s="2"/>
      <c r="L86" s="6">
        <f t="shared" si="55"/>
        <v>-19427.55</v>
      </c>
      <c r="M86" s="2"/>
      <c r="N86" s="7">
        <f t="shared" si="56"/>
        <v>-1</v>
      </c>
      <c r="O86" s="11"/>
      <c r="P86" s="6">
        <v>193.5</v>
      </c>
      <c r="Q86" s="2"/>
      <c r="R86" s="7">
        <f t="shared" si="57"/>
        <v>4.9291945404445064E-5</v>
      </c>
      <c r="S86" s="2"/>
      <c r="T86" s="6">
        <v>37968.51</v>
      </c>
      <c r="U86" s="2"/>
      <c r="V86" s="7">
        <f t="shared" si="58"/>
        <v>7.5701708808340151E-2</v>
      </c>
      <c r="W86" s="2"/>
      <c r="X86" s="6">
        <f t="shared" si="59"/>
        <v>-37775.01</v>
      </c>
      <c r="Y86" s="2"/>
      <c r="Z86" s="7">
        <f t="shared" si="60"/>
        <v>-0.99490367148987413</v>
      </c>
    </row>
    <row r="87" spans="1:26" s="24" customFormat="1" hidden="1" outlineLevel="2" x14ac:dyDescent="0.25">
      <c r="A87" s="29"/>
      <c r="B87" s="11" t="str">
        <f>CONCATENATE("          ", "6237", " - ", "JANITORIAL SUPPLIES")</f>
        <v xml:space="preserve">          6237 - JANITORIAL SUPPLIES</v>
      </c>
      <c r="C87" s="11"/>
      <c r="D87" s="6">
        <v>5772.14</v>
      </c>
      <c r="E87" s="2"/>
      <c r="F87" s="7">
        <f t="shared" si="53"/>
        <v>3.2235091994554346E-3</v>
      </c>
      <c r="G87" s="2"/>
      <c r="H87" s="6">
        <v>2066.5</v>
      </c>
      <c r="I87" s="2"/>
      <c r="J87" s="7">
        <f t="shared" si="54"/>
        <v>1.0561056038143888E-2</v>
      </c>
      <c r="K87" s="2"/>
      <c r="L87" s="6">
        <f t="shared" si="55"/>
        <v>3705.6400000000003</v>
      </c>
      <c r="M87" s="2"/>
      <c r="N87" s="7">
        <f t="shared" si="56"/>
        <v>1.7931962255020568</v>
      </c>
      <c r="O87" s="11"/>
      <c r="P87" s="6">
        <v>27451.21</v>
      </c>
      <c r="Q87" s="2"/>
      <c r="R87" s="7">
        <f t="shared" si="57"/>
        <v>6.9928865354312985E-3</v>
      </c>
      <c r="S87" s="2"/>
      <c r="T87" s="6">
        <v>8160.21</v>
      </c>
      <c r="U87" s="2"/>
      <c r="V87" s="7">
        <f t="shared" si="58"/>
        <v>1.626984680818145E-2</v>
      </c>
      <c r="W87" s="2"/>
      <c r="X87" s="6">
        <f t="shared" si="59"/>
        <v>19291</v>
      </c>
      <c r="Y87" s="2"/>
      <c r="Z87" s="7">
        <f t="shared" si="60"/>
        <v>2.3640322981884045</v>
      </c>
    </row>
    <row r="88" spans="1:26" s="24" customFormat="1" hidden="1" outlineLevel="2" x14ac:dyDescent="0.25">
      <c r="A88" s="29"/>
      <c r="B88" s="11" t="str">
        <f>CONCATENATE("          ", "6239", " - ", "KITCHEN SUPPLIES")</f>
        <v xml:space="preserve">          6239 - KITCHEN SUPPLIES</v>
      </c>
      <c r="C88" s="11"/>
      <c r="D88" s="6">
        <v>10993.74</v>
      </c>
      <c r="E88" s="2"/>
      <c r="F88" s="7">
        <f t="shared" si="53"/>
        <v>6.1395638405203588E-3</v>
      </c>
      <c r="G88" s="2"/>
      <c r="H88" s="6">
        <v>1264.19</v>
      </c>
      <c r="I88" s="2"/>
      <c r="J88" s="7">
        <f t="shared" si="54"/>
        <v>6.4607701102642745E-3</v>
      </c>
      <c r="K88" s="2"/>
      <c r="L88" s="6">
        <f t="shared" si="55"/>
        <v>9729.5499999999993</v>
      </c>
      <c r="M88" s="2"/>
      <c r="N88" s="7">
        <f t="shared" si="56"/>
        <v>7.6962719211510917</v>
      </c>
      <c r="O88" s="11"/>
      <c r="P88" s="6">
        <v>25113.62</v>
      </c>
      <c r="Q88" s="2"/>
      <c r="R88" s="7">
        <f t="shared" si="57"/>
        <v>6.3974118136846487E-3</v>
      </c>
      <c r="S88" s="2"/>
      <c r="T88" s="6">
        <v>4191.51</v>
      </c>
      <c r="U88" s="2"/>
      <c r="V88" s="7">
        <f t="shared" si="58"/>
        <v>8.3570429676393908E-3</v>
      </c>
      <c r="W88" s="2"/>
      <c r="X88" s="6">
        <f t="shared" si="59"/>
        <v>20922.11</v>
      </c>
      <c r="Y88" s="2"/>
      <c r="Z88" s="7">
        <f t="shared" si="60"/>
        <v>4.9915448132057421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6">
        <v>8396.0300000000007</v>
      </c>
      <c r="E89" s="2"/>
      <c r="F89" s="7">
        <f t="shared" si="53"/>
        <v>4.6888467611499052E-3</v>
      </c>
      <c r="G89" s="2"/>
      <c r="H89" s="6">
        <v>525.44000000000005</v>
      </c>
      <c r="I89" s="2"/>
      <c r="J89" s="7">
        <f t="shared" si="54"/>
        <v>2.6853139533909148E-3</v>
      </c>
      <c r="K89" s="2"/>
      <c r="L89" s="6">
        <f t="shared" si="55"/>
        <v>7870.59</v>
      </c>
      <c r="M89" s="2"/>
      <c r="N89" s="7">
        <f t="shared" si="56"/>
        <v>14.979046132764919</v>
      </c>
      <c r="O89" s="11"/>
      <c r="P89" s="6">
        <v>16792.259999999998</v>
      </c>
      <c r="Q89" s="2"/>
      <c r="R89" s="7">
        <f t="shared" si="57"/>
        <v>4.2776390859806026E-3</v>
      </c>
      <c r="S89" s="2"/>
      <c r="T89" s="6">
        <v>-27768.400000000001</v>
      </c>
      <c r="U89" s="2"/>
      <c r="V89" s="7">
        <f t="shared" si="58"/>
        <v>-5.5364704352989173E-2</v>
      </c>
      <c r="W89" s="2"/>
      <c r="X89" s="6">
        <f t="shared" si="59"/>
        <v>44560.66</v>
      </c>
      <c r="Y89" s="2"/>
      <c r="Z89" s="7">
        <f t="shared" si="60"/>
        <v>-1.6047255153339768</v>
      </c>
    </row>
    <row r="90" spans="1:26" s="24" customFormat="1" hidden="1" outlineLevel="2" x14ac:dyDescent="0.25">
      <c r="A90" s="29"/>
      <c r="B90" s="11" t="str">
        <f>CONCATENATE("          ", "6243", " - ", "PAPER SUPPLIES")</f>
        <v xml:space="preserve">          6243 - PAPER SUPPLIES</v>
      </c>
      <c r="C90" s="11"/>
      <c r="D90" s="6">
        <v>58236.19</v>
      </c>
      <c r="E90" s="2"/>
      <c r="F90" s="7">
        <f t="shared" si="53"/>
        <v>3.2522581608594836E-2</v>
      </c>
      <c r="G90" s="2"/>
      <c r="H90" s="6">
        <v>2632.64</v>
      </c>
      <c r="I90" s="2"/>
      <c r="J90" s="7">
        <f t="shared" si="54"/>
        <v>1.3454371433950701E-2</v>
      </c>
      <c r="K90" s="2"/>
      <c r="L90" s="6">
        <f t="shared" si="55"/>
        <v>55603.55</v>
      </c>
      <c r="M90" s="2"/>
      <c r="N90" s="7">
        <f t="shared" si="56"/>
        <v>21.120833080102106</v>
      </c>
      <c r="O90" s="11"/>
      <c r="P90" s="6">
        <v>97612.68</v>
      </c>
      <c r="Q90" s="2"/>
      <c r="R90" s="7">
        <f t="shared" si="57"/>
        <v>2.4865730714943492E-2</v>
      </c>
      <c r="S90" s="2"/>
      <c r="T90" s="6">
        <v>6292.81</v>
      </c>
      <c r="U90" s="2"/>
      <c r="V90" s="7">
        <f t="shared" si="58"/>
        <v>1.2546620086124291E-2</v>
      </c>
      <c r="W90" s="2"/>
      <c r="X90" s="6">
        <f t="shared" si="59"/>
        <v>91319.87</v>
      </c>
      <c r="Y90" s="2"/>
      <c r="Z90" s="7">
        <f t="shared" si="60"/>
        <v>14.511779316394422</v>
      </c>
    </row>
    <row r="91" spans="1:26" s="24" customFormat="1" hidden="1" outlineLevel="2" x14ac:dyDescent="0.25">
      <c r="A91" s="29"/>
      <c r="B91" s="11" t="str">
        <f>CONCATENATE("          ", "6245", " - ", "PRINTING")</f>
        <v xml:space="preserve">          6245 - PRINTING</v>
      </c>
      <c r="C91" s="11"/>
      <c r="D91" s="6">
        <v>1071</v>
      </c>
      <c r="E91" s="2"/>
      <c r="F91" s="7">
        <f t="shared" si="53"/>
        <v>5.981106405279099E-4</v>
      </c>
      <c r="G91" s="2"/>
      <c r="H91" s="6"/>
      <c r="I91" s="2"/>
      <c r="J91" s="7">
        <f t="shared" si="54"/>
        <v>0</v>
      </c>
      <c r="K91" s="2"/>
      <c r="L91" s="6">
        <f t="shared" si="55"/>
        <v>1071</v>
      </c>
      <c r="M91" s="2"/>
      <c r="N91" s="7">
        <f t="shared" si="56"/>
        <v>0</v>
      </c>
      <c r="O91" s="11"/>
      <c r="P91" s="6">
        <v>1071</v>
      </c>
      <c r="Q91" s="2"/>
      <c r="R91" s="7">
        <f t="shared" si="57"/>
        <v>2.7282518619204478E-4</v>
      </c>
      <c r="S91" s="2"/>
      <c r="T91" s="6"/>
      <c r="U91" s="2"/>
      <c r="V91" s="7">
        <f t="shared" si="58"/>
        <v>0</v>
      </c>
      <c r="W91" s="2"/>
      <c r="X91" s="6">
        <f t="shared" si="59"/>
        <v>1071</v>
      </c>
      <c r="Y91" s="2"/>
      <c r="Z91" s="7">
        <f t="shared" si="60"/>
        <v>0</v>
      </c>
    </row>
    <row r="92" spans="1:26" s="24" customFormat="1" hidden="1" outlineLevel="2" x14ac:dyDescent="0.25">
      <c r="A92" s="29"/>
      <c r="B92" s="11" t="str">
        <f>CONCATENATE("          ", "6247", " - ", "STORE SUPPLIES")</f>
        <v xml:space="preserve">          6247 - STORE SUPPLIES</v>
      </c>
      <c r="C92" s="11"/>
      <c r="D92" s="6">
        <v>388.41</v>
      </c>
      <c r="E92" s="2"/>
      <c r="F92" s="7">
        <f t="shared" si="53"/>
        <v>2.169114415382311E-4</v>
      </c>
      <c r="G92" s="2"/>
      <c r="H92" s="6"/>
      <c r="I92" s="2"/>
      <c r="J92" s="7">
        <f t="shared" si="54"/>
        <v>0</v>
      </c>
      <c r="K92" s="2"/>
      <c r="L92" s="6">
        <f t="shared" si="55"/>
        <v>388.41</v>
      </c>
      <c r="M92" s="2"/>
      <c r="N92" s="7">
        <f t="shared" si="56"/>
        <v>0</v>
      </c>
      <c r="O92" s="11"/>
      <c r="P92" s="6">
        <v>1184.4100000000001</v>
      </c>
      <c r="Q92" s="2"/>
      <c r="R92" s="7">
        <f t="shared" si="57"/>
        <v>3.0171510623503247E-4</v>
      </c>
      <c r="S92" s="2"/>
      <c r="T92" s="6"/>
      <c r="U92" s="2"/>
      <c r="V92" s="7">
        <f t="shared" si="58"/>
        <v>0</v>
      </c>
      <c r="W92" s="2"/>
      <c r="X92" s="6">
        <f t="shared" si="59"/>
        <v>1184.4100000000001</v>
      </c>
      <c r="Y92" s="2"/>
      <c r="Z92" s="7">
        <f t="shared" si="60"/>
        <v>0</v>
      </c>
    </row>
    <row r="93" spans="1:26" s="24" customFormat="1" hidden="1" outlineLevel="2" x14ac:dyDescent="0.25">
      <c r="A93" s="29"/>
      <c r="B93" s="11" t="str">
        <f>CONCATENATE("          ", "6248", " - ", "UNIFORMS")</f>
        <v xml:space="preserve">          6248 - UNIFORMS</v>
      </c>
      <c r="C93" s="11"/>
      <c r="D93" s="6">
        <v>5611.23</v>
      </c>
      <c r="E93" s="2"/>
      <c r="F93" s="7">
        <f t="shared" si="53"/>
        <v>3.1336474037809746E-3</v>
      </c>
      <c r="G93" s="2"/>
      <c r="H93" s="6"/>
      <c r="I93" s="2"/>
      <c r="J93" s="7">
        <f t="shared" si="54"/>
        <v>0</v>
      </c>
      <c r="K93" s="2"/>
      <c r="L93" s="6">
        <f t="shared" si="55"/>
        <v>5611.23</v>
      </c>
      <c r="M93" s="2"/>
      <c r="N93" s="7">
        <f t="shared" si="56"/>
        <v>0</v>
      </c>
      <c r="O93" s="11"/>
      <c r="P93" s="6">
        <v>5611.23</v>
      </c>
      <c r="Q93" s="2"/>
      <c r="R93" s="7">
        <f t="shared" si="57"/>
        <v>1.4293976372702028E-3</v>
      </c>
      <c r="S93" s="2"/>
      <c r="T93" s="6">
        <v>3814.68</v>
      </c>
      <c r="U93" s="2"/>
      <c r="V93" s="7">
        <f t="shared" si="58"/>
        <v>7.6057183849721523E-3</v>
      </c>
      <c r="W93" s="2"/>
      <c r="X93" s="6">
        <f t="shared" si="59"/>
        <v>1796.5499999999997</v>
      </c>
      <c r="Y93" s="2"/>
      <c r="Z93" s="7">
        <f t="shared" si="60"/>
        <v>0.47095693478876338</v>
      </c>
    </row>
    <row r="94" spans="1:26" s="28" customFormat="1" outlineLevel="1" collapsed="1" x14ac:dyDescent="0.25">
      <c r="A94" s="27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SUM(OSRRefD22_20x_0)</f>
        <v>2237.61</v>
      </c>
      <c r="E94" s="1"/>
      <c r="F94" s="5">
        <f t="shared" ref="F94:F100" si="61">IF(D$12=0,0,D94/D$12)</f>
        <v>1.2496156399175132E-3</v>
      </c>
      <c r="G94" s="1"/>
      <c r="H94" s="1">
        <f>SUM(OSRRefH22_20x_0)</f>
        <v>911.98</v>
      </c>
      <c r="I94" s="1"/>
      <c r="J94" s="5">
        <f t="shared" ref="J94:J100" si="62">IF(H$12=0,0,H94/H$12)</f>
        <v>4.6607654902813761E-3</v>
      </c>
      <c r="K94" s="1"/>
      <c r="L94" s="1">
        <f t="shared" ref="L94:L100" si="63">+D94-H94</f>
        <v>1325.63</v>
      </c>
      <c r="M94" s="1"/>
      <c r="N94" s="5">
        <f t="shared" ref="N94:N100" si="64">IF(H94=0,0,L94/H94)</f>
        <v>1.4535735432794579</v>
      </c>
      <c r="O94" s="14"/>
      <c r="P94" s="1">
        <f>SUM(OSRRefP22_20x_0)</f>
        <v>6113.24</v>
      </c>
      <c r="Q94" s="1"/>
      <c r="R94" s="5">
        <f t="shared" ref="R94:R100" si="65">IF(P$12=0,0,P94/P$12)</f>
        <v>1.5572790300995851E-3</v>
      </c>
      <c r="S94" s="1"/>
      <c r="T94" s="1">
        <f>SUM(OSRRefT22_20x_0)</f>
        <v>6223.39</v>
      </c>
      <c r="U94" s="1"/>
      <c r="V94" s="5">
        <f t="shared" ref="V94:V100" si="66">IF(T$12=0,0,T94/T$12)</f>
        <v>1.2408210319044283E-2</v>
      </c>
      <c r="W94" s="1"/>
      <c r="X94" s="1">
        <f t="shared" ref="X94:X100" si="67">+P94-T94</f>
        <v>-110.15000000000055</v>
      </c>
      <c r="Y94" s="1"/>
      <c r="Z94" s="5">
        <f t="shared" ref="Z94:Z100" si="68">IF(T94=0,0,X94/T94)</f>
        <v>-1.7699356781432713E-2</v>
      </c>
    </row>
    <row r="95" spans="1:26" s="24" customFormat="1" hidden="1" outlineLevel="2" x14ac:dyDescent="0.25">
      <c r="A95" s="29"/>
      <c r="B95" s="11" t="str">
        <f>CONCATENATE("          ", "6309", " - ", "TELEPHONE")</f>
        <v xml:space="preserve">          6309 - TELEPHONE</v>
      </c>
      <c r="C95" s="11"/>
      <c r="D95" s="6">
        <v>2237.61</v>
      </c>
      <c r="E95" s="2"/>
      <c r="F95" s="7">
        <f t="shared" si="61"/>
        <v>1.2496156399175132E-3</v>
      </c>
      <c r="G95" s="2"/>
      <c r="H95" s="6">
        <v>911.98</v>
      </c>
      <c r="I95" s="2"/>
      <c r="J95" s="7">
        <f t="shared" si="62"/>
        <v>4.6607654902813761E-3</v>
      </c>
      <c r="K95" s="2"/>
      <c r="L95" s="6">
        <f t="shared" si="63"/>
        <v>1325.63</v>
      </c>
      <c r="M95" s="2"/>
      <c r="N95" s="7">
        <f t="shared" si="64"/>
        <v>1.4535735432794579</v>
      </c>
      <c r="O95" s="11"/>
      <c r="P95" s="6">
        <v>6113.24</v>
      </c>
      <c r="Q95" s="2"/>
      <c r="R95" s="7">
        <f t="shared" si="65"/>
        <v>1.5572790300995851E-3</v>
      </c>
      <c r="S95" s="2"/>
      <c r="T95" s="6">
        <v>6223.39</v>
      </c>
      <c r="U95" s="2"/>
      <c r="V95" s="7">
        <f t="shared" si="66"/>
        <v>1.2408210319044283E-2</v>
      </c>
      <c r="W95" s="2"/>
      <c r="X95" s="6">
        <f t="shared" si="67"/>
        <v>-110.15000000000055</v>
      </c>
      <c r="Y95" s="2"/>
      <c r="Z95" s="7">
        <f t="shared" si="68"/>
        <v>-1.7699356781432713E-2</v>
      </c>
    </row>
    <row r="96" spans="1:26" s="28" customFormat="1" outlineLevel="1" collapsed="1" x14ac:dyDescent="0.25">
      <c r="A96" s="27"/>
      <c r="B96" s="14" t="str">
        <f>CONCATENATE("     ","Training                                          ")</f>
        <v xml:space="preserve">     Training                                          </v>
      </c>
      <c r="C96" s="14"/>
      <c r="D96" s="1">
        <f>SUM(OSRRefD22_21x_0)</f>
        <v>0</v>
      </c>
      <c r="E96" s="1"/>
      <c r="F96" s="5">
        <f t="shared" si="61"/>
        <v>0</v>
      </c>
      <c r="G96" s="1"/>
      <c r="H96" s="1">
        <f>SUM(OSRRefH22_21x_0)</f>
        <v>385</v>
      </c>
      <c r="I96" s="1"/>
      <c r="J96" s="5">
        <f t="shared" si="62"/>
        <v>1.9675812120422925E-3</v>
      </c>
      <c r="K96" s="1"/>
      <c r="L96" s="1">
        <f t="shared" si="63"/>
        <v>-385</v>
      </c>
      <c r="M96" s="1"/>
      <c r="N96" s="5">
        <f t="shared" si="64"/>
        <v>-1</v>
      </c>
      <c r="O96" s="14"/>
      <c r="P96" s="1">
        <f>SUM(OSRRefP22_21x_0)</f>
        <v>0</v>
      </c>
      <c r="Q96" s="1"/>
      <c r="R96" s="5">
        <f t="shared" si="65"/>
        <v>0</v>
      </c>
      <c r="S96" s="1"/>
      <c r="T96" s="1">
        <f>SUM(OSRRefT22_21x_0)</f>
        <v>735</v>
      </c>
      <c r="U96" s="1"/>
      <c r="V96" s="5">
        <f t="shared" si="66"/>
        <v>1.4654448113484047E-3</v>
      </c>
      <c r="W96" s="1"/>
      <c r="X96" s="1">
        <f t="shared" si="67"/>
        <v>-735</v>
      </c>
      <c r="Y96" s="1"/>
      <c r="Z96" s="5">
        <f t="shared" si="68"/>
        <v>-1</v>
      </c>
    </row>
    <row r="97" spans="1:26" s="24" customFormat="1" hidden="1" outlineLevel="2" x14ac:dyDescent="0.25">
      <c r="A97" s="29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1"/>
        <v>0</v>
      </c>
      <c r="G97" s="2"/>
      <c r="H97" s="6">
        <v>385</v>
      </c>
      <c r="I97" s="2"/>
      <c r="J97" s="7">
        <f t="shared" si="62"/>
        <v>1.9675812120422925E-3</v>
      </c>
      <c r="K97" s="2"/>
      <c r="L97" s="6">
        <f t="shared" si="63"/>
        <v>-385</v>
      </c>
      <c r="M97" s="2"/>
      <c r="N97" s="7">
        <f t="shared" si="64"/>
        <v>-1</v>
      </c>
      <c r="O97" s="11"/>
      <c r="P97" s="6"/>
      <c r="Q97" s="2"/>
      <c r="R97" s="7">
        <f t="shared" si="65"/>
        <v>0</v>
      </c>
      <c r="S97" s="2"/>
      <c r="T97" s="6">
        <v>735</v>
      </c>
      <c r="U97" s="2"/>
      <c r="V97" s="7">
        <f t="shared" si="66"/>
        <v>1.4654448113484047E-3</v>
      </c>
      <c r="W97" s="2"/>
      <c r="X97" s="6">
        <f t="shared" si="67"/>
        <v>-735</v>
      </c>
      <c r="Y97" s="2"/>
      <c r="Z97" s="7">
        <f t="shared" si="68"/>
        <v>-1</v>
      </c>
    </row>
    <row r="98" spans="1:26" s="28" customFormat="1" outlineLevel="1" collapsed="1" x14ac:dyDescent="0.25">
      <c r="A98" s="27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SUM(OSRRefD22_22x_0)</f>
        <v>0</v>
      </c>
      <c r="E98" s="1"/>
      <c r="F98" s="5">
        <f t="shared" si="61"/>
        <v>0</v>
      </c>
      <c r="G98" s="1"/>
      <c r="H98" s="1">
        <f>SUM(OSRRefH22_22x_0)</f>
        <v>0</v>
      </c>
      <c r="I98" s="1"/>
      <c r="J98" s="5">
        <f t="shared" si="62"/>
        <v>0</v>
      </c>
      <c r="K98" s="1"/>
      <c r="L98" s="1">
        <f t="shared" si="63"/>
        <v>0</v>
      </c>
      <c r="M98" s="1"/>
      <c r="N98" s="5">
        <f t="shared" si="64"/>
        <v>0</v>
      </c>
      <c r="O98" s="14"/>
      <c r="P98" s="1">
        <f>SUM(OSRRefP22_22x_0)</f>
        <v>699.02</v>
      </c>
      <c r="Q98" s="1"/>
      <c r="R98" s="5">
        <f t="shared" si="65"/>
        <v>1.7806747119697772E-4</v>
      </c>
      <c r="S98" s="1"/>
      <c r="T98" s="1">
        <f>SUM(OSRRefT22_22x_0)</f>
        <v>332.21</v>
      </c>
      <c r="U98" s="1"/>
      <c r="V98" s="5">
        <f t="shared" si="66"/>
        <v>6.6236111670483469E-4</v>
      </c>
      <c r="W98" s="1"/>
      <c r="X98" s="1">
        <f t="shared" si="67"/>
        <v>366.81</v>
      </c>
      <c r="Y98" s="1"/>
      <c r="Z98" s="5">
        <f t="shared" si="68"/>
        <v>1.1041509888323651</v>
      </c>
    </row>
    <row r="99" spans="1:26" s="24" customFormat="1" hidden="1" outlineLevel="2" x14ac:dyDescent="0.25">
      <c r="A99" s="29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61"/>
        <v>0</v>
      </c>
      <c r="G99" s="2"/>
      <c r="H99" s="6"/>
      <c r="I99" s="2"/>
      <c r="J99" s="7">
        <f t="shared" si="62"/>
        <v>0</v>
      </c>
      <c r="K99" s="2"/>
      <c r="L99" s="6">
        <f t="shared" si="63"/>
        <v>0</v>
      </c>
      <c r="M99" s="2"/>
      <c r="N99" s="7">
        <f t="shared" si="64"/>
        <v>0</v>
      </c>
      <c r="O99" s="11"/>
      <c r="P99" s="6">
        <v>595</v>
      </c>
      <c r="Q99" s="2"/>
      <c r="R99" s="7">
        <f t="shared" si="65"/>
        <v>1.5156954788446932E-4</v>
      </c>
      <c r="S99" s="2"/>
      <c r="T99" s="6"/>
      <c r="U99" s="2"/>
      <c r="V99" s="7">
        <f t="shared" si="66"/>
        <v>0</v>
      </c>
      <c r="W99" s="2"/>
      <c r="X99" s="6">
        <f t="shared" si="67"/>
        <v>595</v>
      </c>
      <c r="Y99" s="2"/>
      <c r="Z99" s="7">
        <f t="shared" si="68"/>
        <v>0</v>
      </c>
    </row>
    <row r="100" spans="1:26" s="24" customFormat="1" hidden="1" outlineLevel="2" x14ac:dyDescent="0.25">
      <c r="A100" s="29"/>
      <c r="B100" s="11" t="str">
        <f>CONCATENATE("          ", "6298", " - ", "VEHICLE MILEAGE")</f>
        <v xml:space="preserve">          6298 - VEHICLE MILEAGE</v>
      </c>
      <c r="C100" s="11"/>
      <c r="D100" s="6"/>
      <c r="E100" s="2"/>
      <c r="F100" s="7">
        <f t="shared" si="61"/>
        <v>0</v>
      </c>
      <c r="G100" s="2"/>
      <c r="H100" s="6"/>
      <c r="I100" s="2"/>
      <c r="J100" s="7">
        <f t="shared" si="62"/>
        <v>0</v>
      </c>
      <c r="K100" s="2"/>
      <c r="L100" s="6">
        <f t="shared" si="63"/>
        <v>0</v>
      </c>
      <c r="M100" s="2"/>
      <c r="N100" s="7">
        <f t="shared" si="64"/>
        <v>0</v>
      </c>
      <c r="O100" s="11"/>
      <c r="P100" s="6">
        <v>104.02</v>
      </c>
      <c r="Q100" s="2"/>
      <c r="R100" s="7">
        <f t="shared" si="65"/>
        <v>2.64979233125084E-5</v>
      </c>
      <c r="S100" s="2"/>
      <c r="T100" s="6">
        <v>332.21</v>
      </c>
      <c r="U100" s="2"/>
      <c r="V100" s="7">
        <f t="shared" si="66"/>
        <v>6.6236111670483469E-4</v>
      </c>
      <c r="W100" s="2"/>
      <c r="X100" s="6">
        <f t="shared" si="67"/>
        <v>-228.19</v>
      </c>
      <c r="Y100" s="2"/>
      <c r="Z100" s="7">
        <f t="shared" si="68"/>
        <v>-0.68688480178200539</v>
      </c>
    </row>
    <row r="101" spans="1:26" s="28" customFormat="1" outlineLevel="1" collapsed="1" x14ac:dyDescent="0.25">
      <c r="A101" s="27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SUM(OSRRefD22_23x_0)</f>
        <v>5750</v>
      </c>
      <c r="E101" s="1"/>
      <c r="F101" s="5">
        <f t="shared" ref="F101:F102" si="69">IF(D$12=0,0,D101/D$12)</f>
        <v>3.2111448954579664E-3</v>
      </c>
      <c r="G101" s="1"/>
      <c r="H101" s="1">
        <f>SUM(OSRRefH22_23x_0)</f>
        <v>-13228</v>
      </c>
      <c r="I101" s="1"/>
      <c r="J101" s="5">
        <f t="shared" ref="J101:J102" si="70">IF(H$12=0,0,H101/H$12)</f>
        <v>-6.7603024085442706E-2</v>
      </c>
      <c r="K101" s="1"/>
      <c r="L101" s="1">
        <f t="shared" ref="L101:L102" si="71">+D101-H101</f>
        <v>18978</v>
      </c>
      <c r="M101" s="1"/>
      <c r="N101" s="5">
        <f t="shared" ref="N101:N102" si="72">IF(H101=0,0,L101/H101)</f>
        <v>-1.4346840036286665</v>
      </c>
      <c r="O101" s="14"/>
      <c r="P101" s="1">
        <f>SUM(OSRRefP22_23x_0)</f>
        <v>30200</v>
      </c>
      <c r="Q101" s="1"/>
      <c r="R101" s="5">
        <f t="shared" ref="R101:R102" si="73">IF(P$12=0,0,P101/P$12)</f>
        <v>7.693109825396594E-3</v>
      </c>
      <c r="S101" s="1"/>
      <c r="T101" s="1">
        <f>SUM(OSRRefT22_23x_0)</f>
        <v>-6328</v>
      </c>
      <c r="U101" s="1"/>
      <c r="V101" s="5">
        <f t="shared" ref="V101:V102" si="74">IF(T$12=0,0,T101/T$12)</f>
        <v>-1.2616781994847217E-2</v>
      </c>
      <c r="W101" s="1"/>
      <c r="X101" s="1">
        <f t="shared" ref="X101:X102" si="75">+P101-T101</f>
        <v>36528</v>
      </c>
      <c r="Y101" s="1"/>
      <c r="Z101" s="5">
        <f t="shared" ref="Z101:Z102" si="76">IF(T101=0,0,X101/T101)</f>
        <v>-5.7724399494311003</v>
      </c>
    </row>
    <row r="102" spans="1:26" s="24" customFormat="1" hidden="1" outlineLevel="2" x14ac:dyDescent="0.25">
      <c r="A102" s="29"/>
      <c r="B102" s="11" t="str">
        <f>CONCATENATE("          ", "6274", " - ", "UTILITIES")</f>
        <v xml:space="preserve">          6274 - UTILITIES</v>
      </c>
      <c r="C102" s="11"/>
      <c r="D102" s="6">
        <v>5750</v>
      </c>
      <c r="E102" s="2"/>
      <c r="F102" s="7">
        <f t="shared" si="69"/>
        <v>3.2111448954579664E-3</v>
      </c>
      <c r="G102" s="2"/>
      <c r="H102" s="6">
        <v>-13228</v>
      </c>
      <c r="I102" s="2"/>
      <c r="J102" s="7">
        <f t="shared" si="70"/>
        <v>-6.7603024085442706E-2</v>
      </c>
      <c r="K102" s="2"/>
      <c r="L102" s="6">
        <f t="shared" si="71"/>
        <v>18978</v>
      </c>
      <c r="M102" s="2"/>
      <c r="N102" s="7">
        <f t="shared" si="72"/>
        <v>-1.4346840036286665</v>
      </c>
      <c r="O102" s="11"/>
      <c r="P102" s="6">
        <v>30200</v>
      </c>
      <c r="Q102" s="2"/>
      <c r="R102" s="7">
        <f t="shared" si="73"/>
        <v>7.693109825396594E-3</v>
      </c>
      <c r="S102" s="2"/>
      <c r="T102" s="6">
        <v>-6328</v>
      </c>
      <c r="U102" s="2"/>
      <c r="V102" s="7">
        <f t="shared" si="74"/>
        <v>-1.2616781994847217E-2</v>
      </c>
      <c r="W102" s="2"/>
      <c r="X102" s="6">
        <f t="shared" si="75"/>
        <v>36528</v>
      </c>
      <c r="Y102" s="2"/>
      <c r="Z102" s="7">
        <f t="shared" si="76"/>
        <v>-5.7724399494311003</v>
      </c>
    </row>
    <row r="103" spans="1:26" s="56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5" t="s">
        <v>292</v>
      </c>
      <c r="C104" s="10"/>
      <c r="D104" s="4">
        <f>SUM(OSRRefD25x_0)</f>
        <v>6812.67</v>
      </c>
      <c r="E104" s="4"/>
      <c r="F104" s="12">
        <f t="shared" ref="F104:F107" si="77">IF(D$12=0,0,D104/D$12)</f>
        <v>3.8046035643373262E-3</v>
      </c>
      <c r="G104" s="4"/>
      <c r="H104" s="4">
        <f>SUM(OSRRefH25x_0)</f>
        <v>457.28</v>
      </c>
      <c r="I104" s="4"/>
      <c r="J104" s="12">
        <f t="shared" ref="J104:J107" si="78">IF(H$12=0,0,H104/H$12)</f>
        <v>2.3369754198511671E-3</v>
      </c>
      <c r="K104" s="4"/>
      <c r="L104" s="4">
        <f t="shared" ref="L104:L107" si="79">+D104-H104</f>
        <v>6355.39</v>
      </c>
      <c r="M104" s="4"/>
      <c r="N104" s="12">
        <f t="shared" ref="N104:N107" si="80">IF(H104=0,0,L104/H104)</f>
        <v>13.898246151154655</v>
      </c>
      <c r="O104" s="10"/>
      <c r="P104" s="4">
        <f>SUM(OSRRefP25x_0)</f>
        <v>24006.720000000001</v>
      </c>
      <c r="Q104" s="4"/>
      <c r="R104" s="12">
        <f t="shared" ref="R104:R107" si="81">IF(P$12=0,0,P104/P$12)</f>
        <v>6.115441506872348E-3</v>
      </c>
      <c r="S104" s="4"/>
      <c r="T104" s="4">
        <f>SUM(OSRRefT25x_0)</f>
        <v>4077.2</v>
      </c>
      <c r="U104" s="4"/>
      <c r="V104" s="12">
        <f t="shared" ref="V104:V107" si="82">IF(T$12=0,0,T104/T$12)</f>
        <v>8.1291314079315856E-3</v>
      </c>
      <c r="W104" s="4"/>
      <c r="X104" s="4">
        <f t="shared" ref="X104:X107" si="83">+P104-T104</f>
        <v>19929.52</v>
      </c>
      <c r="Y104" s="4"/>
      <c r="Z104" s="12">
        <f t="shared" ref="Z104:Z107" si="84">IF(T104=0,0,X104/T104)</f>
        <v>4.8880408123221821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--6812.67</f>
        <v>6812.67</v>
      </c>
      <c r="E105" s="2"/>
      <c r="F105" s="19">
        <f t="shared" si="77"/>
        <v>3.8046035643373262E-3</v>
      </c>
      <c r="G105" s="2"/>
      <c r="H105" s="2">
        <f>--119.09</f>
        <v>119.09</v>
      </c>
      <c r="I105" s="2"/>
      <c r="J105" s="19">
        <f t="shared" si="78"/>
        <v>6.0862141958991321E-4</v>
      </c>
      <c r="K105" s="2"/>
      <c r="L105" s="2">
        <f t="shared" si="79"/>
        <v>6693.58</v>
      </c>
      <c r="M105" s="2"/>
      <c r="N105" s="19">
        <f t="shared" si="80"/>
        <v>56.206062641699553</v>
      </c>
      <c r="O105" s="11"/>
      <c r="P105" s="2">
        <f>--24006.72</f>
        <v>24006.720000000001</v>
      </c>
      <c r="Q105" s="2"/>
      <c r="R105" s="19">
        <f t="shared" si="81"/>
        <v>6.115441506872348E-3</v>
      </c>
      <c r="S105" s="2"/>
      <c r="T105" s="2">
        <f>--923.77</f>
        <v>923.77</v>
      </c>
      <c r="U105" s="2"/>
      <c r="V105" s="19">
        <f t="shared" si="82"/>
        <v>1.8418149025568921E-3</v>
      </c>
      <c r="W105" s="2"/>
      <c r="X105" s="2">
        <f t="shared" si="83"/>
        <v>23082.95</v>
      </c>
      <c r="Y105" s="2"/>
      <c r="Z105" s="19">
        <f t="shared" si="84"/>
        <v>24.987767517888653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ref="D106:D107" si="85">0</f>
        <v>0</v>
      </c>
      <c r="E106" s="2"/>
      <c r="F106" s="19">
        <f t="shared" si="77"/>
        <v>0</v>
      </c>
      <c r="G106" s="2"/>
      <c r="H106" s="2">
        <f>--338.19</f>
        <v>338.19</v>
      </c>
      <c r="I106" s="2"/>
      <c r="J106" s="19">
        <f t="shared" si="78"/>
        <v>1.7283540002612542E-3</v>
      </c>
      <c r="K106" s="2"/>
      <c r="L106" s="2">
        <f t="shared" si="79"/>
        <v>-338.19</v>
      </c>
      <c r="M106" s="2"/>
      <c r="N106" s="19">
        <f t="shared" si="80"/>
        <v>-1</v>
      </c>
      <c r="O106" s="11"/>
      <c r="P106" s="2">
        <f t="shared" ref="P106:P107" si="86">0</f>
        <v>0</v>
      </c>
      <c r="Q106" s="2"/>
      <c r="R106" s="19">
        <f t="shared" si="81"/>
        <v>0</v>
      </c>
      <c r="S106" s="2"/>
      <c r="T106" s="2">
        <f>--2328.25</f>
        <v>2328.25</v>
      </c>
      <c r="U106" s="2"/>
      <c r="V106" s="19">
        <f t="shared" si="82"/>
        <v>4.6420705877849291E-3</v>
      </c>
      <c r="W106" s="2"/>
      <c r="X106" s="2">
        <f t="shared" si="83"/>
        <v>-2328.25</v>
      </c>
      <c r="Y106" s="2"/>
      <c r="Z106" s="19">
        <f t="shared" si="84"/>
        <v>-1</v>
      </c>
    </row>
    <row r="107" spans="1:26" s="24" customFormat="1" hidden="1" outlineLevel="1" x14ac:dyDescent="0.25">
      <c r="A107" s="44"/>
      <c r="B107" s="11" t="str">
        <f>CONCATENATE("          ", "9165", " - ", "OTHER INCOME")</f>
        <v xml:space="preserve">          9165 - OTHER INCOME</v>
      </c>
      <c r="C107" s="11"/>
      <c r="D107" s="2">
        <f t="shared" si="85"/>
        <v>0</v>
      </c>
      <c r="E107" s="2"/>
      <c r="F107" s="19">
        <f t="shared" si="77"/>
        <v>0</v>
      </c>
      <c r="G107" s="2"/>
      <c r="H107" s="2">
        <f>0</f>
        <v>0</v>
      </c>
      <c r="I107" s="2"/>
      <c r="J107" s="19">
        <f t="shared" si="78"/>
        <v>0</v>
      </c>
      <c r="K107" s="2"/>
      <c r="L107" s="2">
        <f t="shared" si="79"/>
        <v>0</v>
      </c>
      <c r="M107" s="2"/>
      <c r="N107" s="19">
        <f t="shared" si="80"/>
        <v>0</v>
      </c>
      <c r="O107" s="11"/>
      <c r="P107" s="2">
        <f t="shared" si="86"/>
        <v>0</v>
      </c>
      <c r="Q107" s="2"/>
      <c r="R107" s="19">
        <f t="shared" si="81"/>
        <v>0</v>
      </c>
      <c r="S107" s="2"/>
      <c r="T107" s="2">
        <f>--825.18</f>
        <v>825.18</v>
      </c>
      <c r="U107" s="2"/>
      <c r="V107" s="19">
        <f t="shared" si="82"/>
        <v>1.6452459175897638E-3</v>
      </c>
      <c r="W107" s="2"/>
      <c r="X107" s="2">
        <f t="shared" si="83"/>
        <v>-825.18</v>
      </c>
      <c r="Y107" s="2"/>
      <c r="Z107" s="19">
        <f t="shared" si="84"/>
        <v>-1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6" t="s">
        <v>276</v>
      </c>
      <c r="C109" s="26"/>
      <c r="D109" s="22">
        <f>+D24-D26+D104</f>
        <v>311683.56999999966</v>
      </c>
      <c r="E109" s="13"/>
      <c r="F109" s="20">
        <f>IF(D$12=0,0,D109/D$12)</f>
        <v>0.17406280083541126</v>
      </c>
      <c r="G109" s="13"/>
      <c r="H109" s="22">
        <f>+H24-H26+H104</f>
        <v>-288735.78000000003</v>
      </c>
      <c r="I109" s="13"/>
      <c r="J109" s="20">
        <f>IF(H$12=0,0,H109/H$12)</f>
        <v>-1.4756132362918877</v>
      </c>
      <c r="K109" s="15"/>
      <c r="L109" s="22">
        <f>+D109-H109</f>
        <v>600419.34999999963</v>
      </c>
      <c r="M109" s="15"/>
      <c r="N109" s="20">
        <f>IF(H109=0,0,L109/H109)</f>
        <v>-2.0794767797742266</v>
      </c>
      <c r="O109" s="25"/>
      <c r="P109" s="22">
        <f>+P24-P26+P104</f>
        <v>315266.04000000027</v>
      </c>
      <c r="Q109" s="13"/>
      <c r="R109" s="20">
        <f>IF(P$12=0,0,P109/P$12)</f>
        <v>8.0310472514499257E-2</v>
      </c>
      <c r="S109" s="13"/>
      <c r="T109" s="22">
        <f>+T24-T26+T104</f>
        <v>-1042367.31</v>
      </c>
      <c r="U109" s="13"/>
      <c r="V109" s="20">
        <f>IF(T$12=0,0,T109/T$12)</f>
        <v>-2.0782745115084271</v>
      </c>
      <c r="W109" s="15"/>
      <c r="X109" s="22">
        <f>+P109-T109</f>
        <v>1357633.3500000003</v>
      </c>
      <c r="Y109" s="15"/>
      <c r="Z109" s="20">
        <f>IF(T109=0,0,X109/T109)</f>
        <v>-1.302451963885936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1"/>
      <c r="B111" s="10" t="s">
        <v>127</v>
      </c>
      <c r="C111" s="10"/>
      <c r="D111" s="4">
        <v>189510.82</v>
      </c>
      <c r="E111" s="4"/>
      <c r="F111" s="12">
        <f>IF(D$12=0,0,D111/D$12)</f>
        <v>0.10583420909166148</v>
      </c>
      <c r="G111" s="4"/>
      <c r="H111" s="4">
        <v>51981.18</v>
      </c>
      <c r="I111" s="4"/>
      <c r="J111" s="12">
        <f>IF(H$12=0,0,H111/H$12)</f>
        <v>0.26565504713711313</v>
      </c>
      <c r="K111" s="4"/>
      <c r="L111" s="4">
        <f>+D111-H111</f>
        <v>137529.64000000001</v>
      </c>
      <c r="M111" s="4"/>
      <c r="N111" s="12">
        <f>IF(H111=0,0,L111/H111)</f>
        <v>2.6457583302264398</v>
      </c>
      <c r="O111" s="10"/>
      <c r="P111" s="4">
        <v>453765.84</v>
      </c>
      <c r="Q111" s="4"/>
      <c r="R111" s="12">
        <f>IF(P$12=0,0,P111/P$12)</f>
        <v>0.11559173649448141</v>
      </c>
      <c r="S111" s="4"/>
      <c r="T111" s="4">
        <v>108647.44</v>
      </c>
      <c r="U111" s="4"/>
      <c r="V111" s="12">
        <f>IF(T$12=0,0,T111/T$12)</f>
        <v>0.21662153362488043</v>
      </c>
      <c r="W111" s="4"/>
      <c r="X111" s="4">
        <f>+P111-T111</f>
        <v>345118.4</v>
      </c>
      <c r="Y111" s="4"/>
      <c r="Z111" s="12">
        <f>IF(T111=0,0,X111/T111)</f>
        <v>3.1764982221394265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6" t="s">
        <v>125</v>
      </c>
      <c r="C113" s="26"/>
      <c r="D113" s="33">
        <f>+D109-D111</f>
        <v>122172.74999999965</v>
      </c>
      <c r="E113" s="13"/>
      <c r="F113" s="31">
        <f>IF(D$12=0,0,D113/D$12)</f>
        <v>6.8228591743749775E-2</v>
      </c>
      <c r="G113" s="13"/>
      <c r="H113" s="33">
        <f>+H109-H111</f>
        <v>-340716.96</v>
      </c>
      <c r="I113" s="13"/>
      <c r="J113" s="31">
        <f>IF(H$12=0,0,H113/H$12)</f>
        <v>-1.7412682834290008</v>
      </c>
      <c r="K113" s="15"/>
      <c r="L113" s="33">
        <f>D113-H113</f>
        <v>462889.70999999967</v>
      </c>
      <c r="M113" s="15"/>
      <c r="N113" s="31">
        <f>IF(H113=0,0,L113/H113)</f>
        <v>-1.358575487407494</v>
      </c>
      <c r="O113" s="25"/>
      <c r="P113" s="33">
        <f>+P109-P111</f>
        <v>-138499.79999999976</v>
      </c>
      <c r="Q113" s="13"/>
      <c r="R113" s="31">
        <f>IF(P$12=0,0,P113/P$12)</f>
        <v>-3.5281263979982158E-2</v>
      </c>
      <c r="S113" s="13"/>
      <c r="T113" s="33">
        <f>+T109-T111</f>
        <v>-1151014.75</v>
      </c>
      <c r="U113" s="13"/>
      <c r="V113" s="31">
        <f>IF(T$12=0,0,T113/T$12)</f>
        <v>-2.2948960451333074</v>
      </c>
      <c r="W113" s="15"/>
      <c r="X113" s="33">
        <f>P113-T113</f>
        <v>1012514.9500000002</v>
      </c>
      <c r="Y113" s="15"/>
      <c r="Z113" s="31">
        <f>IF(T113=0,0,X113/T113)</f>
        <v>-0.87967156806635205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6" t="s">
        <v>293</v>
      </c>
      <c r="C116" s="26"/>
      <c r="D116" s="34">
        <f>SUM(D113:D115)</f>
        <v>122172.74999999965</v>
      </c>
      <c r="E116" s="13"/>
      <c r="F116" s="30">
        <f>IF(D$12=0,0,D116/D$12)</f>
        <v>6.8228591743749775E-2</v>
      </c>
      <c r="G116" s="13"/>
      <c r="H116" s="34">
        <f>SUM(H113:H115)</f>
        <v>-340716.96</v>
      </c>
      <c r="I116" s="13"/>
      <c r="J116" s="30">
        <f>IF(H$12=0,0,H116/H$12)</f>
        <v>-1.7412682834290008</v>
      </c>
      <c r="K116" s="15"/>
      <c r="L116" s="34">
        <f>+D116-H116</f>
        <v>462889.70999999967</v>
      </c>
      <c r="M116" s="15"/>
      <c r="N116" s="30">
        <f>IF(H116=0,0,L116/H116)</f>
        <v>-1.358575487407494</v>
      </c>
      <c r="O116" s="25"/>
      <c r="P116" s="34">
        <f>SUM(P113:P115)</f>
        <v>-138499.79999999976</v>
      </c>
      <c r="Q116" s="13"/>
      <c r="R116" s="30">
        <f>IF(P$12=0,0,P116/P$12)</f>
        <v>-3.5281263979982158E-2</v>
      </c>
      <c r="S116" s="13"/>
      <c r="T116" s="34">
        <f>SUM(T113:T115)</f>
        <v>-1151014.75</v>
      </c>
      <c r="U116" s="13"/>
      <c r="V116" s="30">
        <f>IF(T$12=0,0,T116/T$12)</f>
        <v>-2.2948960451333074</v>
      </c>
      <c r="W116" s="15"/>
      <c r="X116" s="34">
        <f>+P116-T116</f>
        <v>1012514.9500000002</v>
      </c>
      <c r="Y116" s="15"/>
      <c r="Z116" s="30">
        <f>IF(T116=0,0,X116/T116)</f>
        <v>-0.87967156806635205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61">
        <v>44517.967007025465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7" t="s">
        <v>56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8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55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206370.10000000003</v>
      </c>
      <c r="E12" s="4"/>
      <c r="F12" s="12"/>
      <c r="G12" s="4"/>
      <c r="H12" s="4">
        <f>SUM(OSRRefH13x_0)</f>
        <v>43520.9</v>
      </c>
      <c r="I12" s="4"/>
      <c r="J12" s="12"/>
      <c r="K12" s="4"/>
      <c r="L12" s="4">
        <f t="shared" ref="L12:L25" si="0">+D12-H12</f>
        <v>162849.20000000004</v>
      </c>
      <c r="M12" s="4"/>
      <c r="N12" s="12">
        <f t="shared" ref="N12:N25" si="1">IF(H12=0,0,L12/H12)</f>
        <v>3.7418619559797714</v>
      </c>
      <c r="O12" s="10"/>
      <c r="P12" s="4">
        <f>SUM(OSRRefP13x_0)</f>
        <v>431294.62</v>
      </c>
      <c r="Q12" s="4"/>
      <c r="R12" s="12"/>
      <c r="S12" s="4"/>
      <c r="T12" s="4">
        <f>SUM(OSRRefT13x_0)</f>
        <v>60478.87</v>
      </c>
      <c r="U12" s="4"/>
      <c r="V12" s="12"/>
      <c r="W12" s="4"/>
      <c r="X12" s="4">
        <f t="shared" ref="X12:X25" si="2">+P12-T12</f>
        <v>370815.75</v>
      </c>
      <c r="Y12" s="4"/>
      <c r="Z12" s="12">
        <f t="shared" ref="Z12:Z25" si="3">IF(T12=0,0,X12/T12)</f>
        <v>6.131327354495876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--4222.65</f>
        <v>4222.6499999999996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4222.6499999999996</v>
      </c>
      <c r="M13" s="2"/>
      <c r="N13" s="19">
        <f t="shared" si="1"/>
        <v>0</v>
      </c>
      <c r="O13" s="11"/>
      <c r="P13" s="2">
        <f>--8316.5</f>
        <v>8316.5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8316.5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--39274.26</f>
        <v>39274.26</v>
      </c>
      <c r="E16" s="2"/>
      <c r="F16" s="19"/>
      <c r="G16" s="2"/>
      <c r="H16" s="2">
        <f>--6097.26</f>
        <v>6097.26</v>
      </c>
      <c r="I16" s="2"/>
      <c r="J16" s="19"/>
      <c r="K16" s="2"/>
      <c r="L16" s="2">
        <f t="shared" si="0"/>
        <v>33177</v>
      </c>
      <c r="M16" s="2"/>
      <c r="N16" s="19">
        <f t="shared" si="1"/>
        <v>5.4412965823993069</v>
      </c>
      <c r="O16" s="11"/>
      <c r="P16" s="2">
        <f>--104250.57</f>
        <v>104250.57</v>
      </c>
      <c r="Q16" s="2"/>
      <c r="R16" s="19"/>
      <c r="S16" s="2"/>
      <c r="T16" s="2">
        <f>--12749.94</f>
        <v>12749.94</v>
      </c>
      <c r="U16" s="2"/>
      <c r="V16" s="19"/>
      <c r="W16" s="2"/>
      <c r="X16" s="2">
        <f t="shared" si="2"/>
        <v>91500.63</v>
      </c>
      <c r="Y16" s="2"/>
      <c r="Z16" s="19">
        <f t="shared" si="3"/>
        <v>7.1765537720177504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0</f>
        <v>0</v>
      </c>
      <c r="E17" s="2"/>
      <c r="F17" s="19"/>
      <c r="G17" s="2"/>
      <c r="H17" s="2">
        <f>--30231.29</f>
        <v>30231.29</v>
      </c>
      <c r="I17" s="2"/>
      <c r="J17" s="19"/>
      <c r="K17" s="2"/>
      <c r="L17" s="2">
        <f t="shared" si="0"/>
        <v>-30231.29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--30231.29</f>
        <v>30231.29</v>
      </c>
      <c r="U17" s="2"/>
      <c r="V17" s="19"/>
      <c r="W17" s="2"/>
      <c r="X17" s="2">
        <f t="shared" si="2"/>
        <v>-30231.29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--4669.37</f>
        <v>4669.37</v>
      </c>
      <c r="E18" s="2"/>
      <c r="F18" s="19"/>
      <c r="G18" s="2"/>
      <c r="H18" s="2">
        <f t="shared" ref="H18:H23" si="7">0</f>
        <v>0</v>
      </c>
      <c r="I18" s="2"/>
      <c r="J18" s="19"/>
      <c r="K18" s="2"/>
      <c r="L18" s="2">
        <f t="shared" si="0"/>
        <v>4669.37</v>
      </c>
      <c r="M18" s="2"/>
      <c r="N18" s="19">
        <f t="shared" si="1"/>
        <v>0</v>
      </c>
      <c r="O18" s="11"/>
      <c r="P18" s="2">
        <f>--4808.46</f>
        <v>4808.46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4808.46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>0</f>
        <v>0</v>
      </c>
      <c r="E19" s="2"/>
      <c r="F19" s="19"/>
      <c r="G19" s="2"/>
      <c r="H19" s="2">
        <f t="shared" si="7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--974.91</f>
        <v>974.91</v>
      </c>
      <c r="U19" s="2"/>
      <c r="V19" s="19"/>
      <c r="W19" s="2"/>
      <c r="X19" s="2">
        <f t="shared" si="2"/>
        <v>-974.91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--21202.87</f>
        <v>21202.87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21202.87</v>
      </c>
      <c r="M20" s="2"/>
      <c r="N20" s="19">
        <f t="shared" si="1"/>
        <v>0</v>
      </c>
      <c r="O20" s="11"/>
      <c r="P20" s="2">
        <f>--39747.97</f>
        <v>39747.97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39747.97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"4132", " - ", "NON-TAXABLE SALES-JUICE")</f>
        <v xml:space="preserve">          4132 - NON-TAXABLE SALES-JUICE</v>
      </c>
      <c r="C21" s="11"/>
      <c r="D21" s="2">
        <f t="shared" ref="D21:D23" si="8">0</f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>--2031.88</f>
        <v>2031.88</v>
      </c>
      <c r="U21" s="2"/>
      <c r="V21" s="19"/>
      <c r="W21" s="2"/>
      <c r="X21" s="2">
        <f t="shared" si="2"/>
        <v>-2031.88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 t="shared" si="8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9"/>
        <v>0</v>
      </c>
      <c r="Q22" s="2"/>
      <c r="R22" s="19"/>
      <c r="S22" s="2"/>
      <c r="T22" s="2">
        <f t="shared" ref="T22:T23" si="10">0</f>
        <v>0</v>
      </c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8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si="10"/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>--137000.95</f>
        <v>137000.95000000001</v>
      </c>
      <c r="E24" s="2"/>
      <c r="F24" s="19"/>
      <c r="G24" s="2"/>
      <c r="H24" s="2">
        <f>--7192.35</f>
        <v>7192.35</v>
      </c>
      <c r="I24" s="2"/>
      <c r="J24" s="19"/>
      <c r="K24" s="2"/>
      <c r="L24" s="2">
        <f t="shared" si="0"/>
        <v>129808.6</v>
      </c>
      <c r="M24" s="2"/>
      <c r="N24" s="19">
        <f t="shared" si="1"/>
        <v>18.04814837987584</v>
      </c>
      <c r="O24" s="11"/>
      <c r="P24" s="2">
        <f>--274171.12</f>
        <v>274171.12</v>
      </c>
      <c r="Q24" s="2"/>
      <c r="R24" s="19"/>
      <c r="S24" s="2"/>
      <c r="T24" s="2">
        <f>--13936.26</f>
        <v>13936.26</v>
      </c>
      <c r="U24" s="2"/>
      <c r="V24" s="19"/>
      <c r="W24" s="2"/>
      <c r="X24" s="2">
        <f t="shared" si="2"/>
        <v>260234.86</v>
      </c>
      <c r="Y24" s="2"/>
      <c r="Z24" s="19">
        <f t="shared" si="3"/>
        <v>18.673220792379016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--110</f>
        <v>110</v>
      </c>
      <c r="U25" s="2"/>
      <c r="V25" s="19"/>
      <c r="W25" s="2"/>
      <c r="X25" s="2">
        <f t="shared" si="2"/>
        <v>-110</v>
      </c>
      <c r="Y25" s="2"/>
      <c r="Z25" s="19">
        <f t="shared" si="3"/>
        <v>-1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5" t="s">
        <v>256</v>
      </c>
      <c r="C27" s="10"/>
      <c r="D27" s="4">
        <f>SUM(OSRRefD16x_0)</f>
        <v>89920.17</v>
      </c>
      <c r="E27" s="4"/>
      <c r="F27" s="12">
        <f t="shared" ref="F27:F29" si="11">IF(D$12=0,0,D27/D$12)</f>
        <v>0.43572285907696889</v>
      </c>
      <c r="G27" s="4"/>
      <c r="H27" s="4">
        <f>SUM(OSRRefH16x_0)</f>
        <v>16854.900000000001</v>
      </c>
      <c r="I27" s="4"/>
      <c r="J27" s="12">
        <f t="shared" ref="J27:J29" si="12">IF(H$12=0,0,H27/H$12)</f>
        <v>0.38728289166814106</v>
      </c>
      <c r="K27" s="4"/>
      <c r="L27" s="4">
        <f t="shared" ref="L27:L29" si="13">+D27-H27</f>
        <v>73065.26999999999</v>
      </c>
      <c r="M27" s="4"/>
      <c r="N27" s="12">
        <f t="shared" ref="N27:N29" si="14">IF(H27=0,0,L27/H27)</f>
        <v>4.334957193457095</v>
      </c>
      <c r="O27" s="10"/>
      <c r="P27" s="4">
        <f>SUM(OSRRefP16x_0)</f>
        <v>171487.91</v>
      </c>
      <c r="Q27" s="4"/>
      <c r="R27" s="12">
        <f t="shared" ref="R27:R29" si="15">IF(P$12=0,0,P27/P$12)</f>
        <v>0.39761198505096124</v>
      </c>
      <c r="S27" s="4"/>
      <c r="T27" s="4">
        <f>SUM(OSRRefT16x_0)</f>
        <v>20654.809999999998</v>
      </c>
      <c r="U27" s="4"/>
      <c r="V27" s="12">
        <f t="shared" ref="V27:V29" si="16">IF(T$12=0,0,T27/T$12)</f>
        <v>0.34152109654165158</v>
      </c>
      <c r="W27" s="4"/>
      <c r="X27" s="4">
        <f t="shared" ref="X27:X29" si="17">+P27-T27</f>
        <v>150833.1</v>
      </c>
      <c r="Y27" s="4"/>
      <c r="Z27" s="12">
        <f t="shared" ref="Z27:Z29" si="18">IF(T27=0,0,X27/T27)</f>
        <v>7.3025653588679837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82589.19</v>
      </c>
      <c r="E28" s="2"/>
      <c r="F28" s="19">
        <f t="shared" si="11"/>
        <v>0.40019939904084939</v>
      </c>
      <c r="G28" s="2"/>
      <c r="H28" s="2">
        <v>3628.9</v>
      </c>
      <c r="I28" s="2"/>
      <c r="J28" s="19">
        <f t="shared" si="12"/>
        <v>8.3382926364114707E-2</v>
      </c>
      <c r="K28" s="2"/>
      <c r="L28" s="2">
        <f t="shared" si="13"/>
        <v>78960.290000000008</v>
      </c>
      <c r="M28" s="2"/>
      <c r="N28" s="19">
        <f t="shared" si="14"/>
        <v>21.758739562952961</v>
      </c>
      <c r="O28" s="11"/>
      <c r="P28" s="2">
        <v>190443.93</v>
      </c>
      <c r="Q28" s="2"/>
      <c r="R28" s="19">
        <f t="shared" si="15"/>
        <v>0.4415634259476735</v>
      </c>
      <c r="S28" s="2"/>
      <c r="T28" s="2">
        <v>6773.84</v>
      </c>
      <c r="U28" s="2"/>
      <c r="V28" s="19">
        <f t="shared" si="16"/>
        <v>0.11200341540772835</v>
      </c>
      <c r="W28" s="2"/>
      <c r="X28" s="2">
        <f t="shared" si="17"/>
        <v>183670.09</v>
      </c>
      <c r="Y28" s="2"/>
      <c r="Z28" s="19">
        <f t="shared" si="18"/>
        <v>27.114618886776185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7330.98</v>
      </c>
      <c r="E29" s="2"/>
      <c r="F29" s="19">
        <f t="shared" si="11"/>
        <v>3.5523460036119565E-2</v>
      </c>
      <c r="G29" s="2"/>
      <c r="H29" s="2">
        <v>13226</v>
      </c>
      <c r="I29" s="2"/>
      <c r="J29" s="19">
        <f t="shared" si="12"/>
        <v>0.30389996530402635</v>
      </c>
      <c r="K29" s="2"/>
      <c r="L29" s="2">
        <f t="shared" si="13"/>
        <v>-5895.02</v>
      </c>
      <c r="M29" s="2"/>
      <c r="N29" s="19">
        <f t="shared" si="14"/>
        <v>-0.44571450173899896</v>
      </c>
      <c r="O29" s="11"/>
      <c r="P29" s="2">
        <v>-18956.02</v>
      </c>
      <c r="Q29" s="2"/>
      <c r="R29" s="19">
        <f t="shared" si="15"/>
        <v>-4.3951440896712324E-2</v>
      </c>
      <c r="S29" s="2"/>
      <c r="T29" s="2">
        <v>13880.97</v>
      </c>
      <c r="U29" s="2"/>
      <c r="V29" s="19">
        <f t="shared" si="16"/>
        <v>0.22951768113392329</v>
      </c>
      <c r="W29" s="2"/>
      <c r="X29" s="2">
        <f t="shared" si="17"/>
        <v>-32836.99</v>
      </c>
      <c r="Y29" s="2"/>
      <c r="Z29" s="19">
        <f t="shared" si="18"/>
        <v>-2.3656120573706305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107</v>
      </c>
      <c r="C31" s="26"/>
      <c r="D31" s="22">
        <f>D12-D27</f>
        <v>116449.93000000004</v>
      </c>
      <c r="E31" s="13"/>
      <c r="F31" s="20">
        <f>IF(D$12=0,0,D31/D$12)</f>
        <v>0.56427714092303105</v>
      </c>
      <c r="G31" s="13"/>
      <c r="H31" s="22">
        <f>H12-H27</f>
        <v>26666</v>
      </c>
      <c r="I31" s="13"/>
      <c r="J31" s="20">
        <f>IF(H$12=0,0,H31/H$12)</f>
        <v>0.61271710833185888</v>
      </c>
      <c r="K31" s="15"/>
      <c r="L31" s="22">
        <f>+D31-H31</f>
        <v>89783.930000000037</v>
      </c>
      <c r="M31" s="15"/>
      <c r="N31" s="20">
        <f>IF(H31=0,0,L31/H31)</f>
        <v>3.3669815495387398</v>
      </c>
      <c r="O31" s="25"/>
      <c r="P31" s="22">
        <f>P12-P27</f>
        <v>259806.71</v>
      </c>
      <c r="Q31" s="13"/>
      <c r="R31" s="20">
        <f>IF(P$12=0,0,P31/P$12)</f>
        <v>0.60238801494903882</v>
      </c>
      <c r="S31" s="13"/>
      <c r="T31" s="22">
        <f>T12-T27</f>
        <v>39824.060000000005</v>
      </c>
      <c r="U31" s="13"/>
      <c r="V31" s="20">
        <f>IF(T$12=0,0,T31/T$12)</f>
        <v>0.65847890345834836</v>
      </c>
      <c r="W31" s="15"/>
      <c r="X31" s="22">
        <f>+P31-T31</f>
        <v>219982.65</v>
      </c>
      <c r="Y31" s="15"/>
      <c r="Z31" s="20">
        <f>IF(T31=0,0,X31/T31)</f>
        <v>5.5238629612349914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5" t="s">
        <v>294</v>
      </c>
      <c r="C33" s="10"/>
      <c r="D33" s="21">
        <f>SUM(OSRRefD22x_0)</f>
        <v>229933.69999999998</v>
      </c>
      <c r="E33" s="21"/>
      <c r="F33" s="36">
        <f t="shared" ref="F33:F42" si="19">IF(D$12=0,0,D33/D$12)</f>
        <v>1.1141812694765372</v>
      </c>
      <c r="G33" s="21"/>
      <c r="H33" s="21">
        <f>SUM(OSRRefH22x_0)</f>
        <v>145968.51</v>
      </c>
      <c r="I33" s="21"/>
      <c r="J33" s="36">
        <f t="shared" ref="J33:J42" si="20">IF(H$12=0,0,H33/H$12)</f>
        <v>3.3539864754635129</v>
      </c>
      <c r="K33" s="4"/>
      <c r="L33" s="21">
        <f t="shared" ref="L33:L42" si="21">+D33-H33</f>
        <v>83965.189999999973</v>
      </c>
      <c r="M33" s="4"/>
      <c r="N33" s="36">
        <f t="shared" ref="N33:N42" si="22">IF(H33=0,0,L33/H33)</f>
        <v>0.57522810913120892</v>
      </c>
      <c r="O33" s="10"/>
      <c r="P33" s="21">
        <f>SUM(OSRRefP22x_0)</f>
        <v>809510.75000000012</v>
      </c>
      <c r="Q33" s="21"/>
      <c r="R33" s="36">
        <f t="shared" ref="R33:R42" si="23">IF(P$12=0,0,P33/P$12)</f>
        <v>1.8769321768956917</v>
      </c>
      <c r="S33" s="21"/>
      <c r="T33" s="21">
        <f>SUM(OSRRefT22x_0)</f>
        <v>573191.00999999978</v>
      </c>
      <c r="U33" s="21"/>
      <c r="V33" s="36">
        <f t="shared" ref="V33:V42" si="24">IF(T$12=0,0,T33/T$12)</f>
        <v>9.4775416604179235</v>
      </c>
      <c r="W33" s="4"/>
      <c r="X33" s="21">
        <f t="shared" ref="X33:X42" si="25">+P33-T33</f>
        <v>236319.74000000034</v>
      </c>
      <c r="Y33" s="4"/>
      <c r="Z33" s="36">
        <f t="shared" ref="Z33:Z42" si="26">IF(T33=0,0,X33/T33)</f>
        <v>0.41228793870999553</v>
      </c>
    </row>
    <row r="34" spans="1:26" s="28" customFormat="1" outlineLevel="1" collapsed="1" x14ac:dyDescent="0.25">
      <c r="A34" s="27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36468.590000000004</v>
      </c>
      <c r="E34" s="1"/>
      <c r="F34" s="5">
        <f t="shared" si="19"/>
        <v>0.17671450466903876</v>
      </c>
      <c r="G34" s="1"/>
      <c r="H34" s="1">
        <f>SUM(OSRRefH22_0x_0)</f>
        <v>29664.920000000002</v>
      </c>
      <c r="I34" s="1"/>
      <c r="J34" s="5">
        <f t="shared" si="20"/>
        <v>0.68162469066586395</v>
      </c>
      <c r="K34" s="1"/>
      <c r="L34" s="1">
        <f t="shared" si="21"/>
        <v>6803.6700000000019</v>
      </c>
      <c r="M34" s="1"/>
      <c r="N34" s="5">
        <f t="shared" si="22"/>
        <v>0.22935069435548794</v>
      </c>
      <c r="O34" s="14"/>
      <c r="P34" s="1">
        <f>SUM(OSRRefP22_0x_0)</f>
        <v>118821.39000000001</v>
      </c>
      <c r="Q34" s="1"/>
      <c r="R34" s="5">
        <f t="shared" si="23"/>
        <v>0.2754993558695446</v>
      </c>
      <c r="S34" s="1"/>
      <c r="T34" s="1">
        <f>SUM(OSRRefT22_0x_0)</f>
        <v>119459.87</v>
      </c>
      <c r="U34" s="1"/>
      <c r="V34" s="5">
        <f t="shared" si="24"/>
        <v>1.9752331682123028</v>
      </c>
      <c r="W34" s="1"/>
      <c r="X34" s="1">
        <f t="shared" si="25"/>
        <v>-638.47999999998137</v>
      </c>
      <c r="Y34" s="1"/>
      <c r="Z34" s="5">
        <f t="shared" si="26"/>
        <v>-5.3447237134945933E-3</v>
      </c>
    </row>
    <row r="35" spans="1:26" s="24" customFormat="1" hidden="1" outlineLevel="2" x14ac:dyDescent="0.25">
      <c r="A35" s="29"/>
      <c r="B35" s="11" t="str">
        <f>CONCATENATE("          ", "6111", " - ", "F.I.C.A.")</f>
        <v xml:space="preserve">          6111 - F.I.C.A.</v>
      </c>
      <c r="C35" s="11"/>
      <c r="D35" s="6">
        <v>6380.12</v>
      </c>
      <c r="E35" s="2"/>
      <c r="F35" s="7">
        <f t="shared" si="19"/>
        <v>3.0915912721852627E-2</v>
      </c>
      <c r="G35" s="2"/>
      <c r="H35" s="6">
        <v>6149.64</v>
      </c>
      <c r="I35" s="2"/>
      <c r="J35" s="7">
        <f t="shared" si="20"/>
        <v>0.14130314400667265</v>
      </c>
      <c r="K35" s="2"/>
      <c r="L35" s="6">
        <f t="shared" si="21"/>
        <v>230.47999999999956</v>
      </c>
      <c r="M35" s="2"/>
      <c r="N35" s="7">
        <f t="shared" si="22"/>
        <v>3.7478616634469587E-2</v>
      </c>
      <c r="O35" s="11"/>
      <c r="P35" s="6">
        <v>18471.34</v>
      </c>
      <c r="Q35" s="2"/>
      <c r="R35" s="7">
        <f t="shared" si="23"/>
        <v>4.282766151824477E-2</v>
      </c>
      <c r="S35" s="2"/>
      <c r="T35" s="6">
        <v>15919.51</v>
      </c>
      <c r="U35" s="2"/>
      <c r="V35" s="7">
        <f t="shared" si="24"/>
        <v>0.26322432942282153</v>
      </c>
      <c r="W35" s="2"/>
      <c r="X35" s="6">
        <f t="shared" si="25"/>
        <v>2551.83</v>
      </c>
      <c r="Y35" s="2"/>
      <c r="Z35" s="7">
        <f t="shared" si="26"/>
        <v>0.16029576287209846</v>
      </c>
    </row>
    <row r="36" spans="1:26" s="24" customFormat="1" hidden="1" outlineLevel="2" x14ac:dyDescent="0.25">
      <c r="A36" s="29"/>
      <c r="B36" s="11" t="str">
        <f>CONCATENATE("          ", "6112", " - ", "COMPENSATION INSURANCE")</f>
        <v xml:space="preserve">          6112 - COMPENSATION INSURANCE</v>
      </c>
      <c r="C36" s="11"/>
      <c r="D36" s="6">
        <v>3215.5</v>
      </c>
      <c r="E36" s="2"/>
      <c r="F36" s="7">
        <f t="shared" si="19"/>
        <v>1.5581230032839058E-2</v>
      </c>
      <c r="G36" s="2"/>
      <c r="H36" s="6">
        <v>820.07</v>
      </c>
      <c r="I36" s="2"/>
      <c r="J36" s="7">
        <f t="shared" si="20"/>
        <v>1.8843130541877581E-2</v>
      </c>
      <c r="K36" s="2"/>
      <c r="L36" s="6">
        <f t="shared" si="21"/>
        <v>2395.4299999999998</v>
      </c>
      <c r="M36" s="2"/>
      <c r="N36" s="7">
        <f t="shared" si="22"/>
        <v>2.9210067433267888</v>
      </c>
      <c r="O36" s="11"/>
      <c r="P36" s="6">
        <v>8197.61</v>
      </c>
      <c r="Q36" s="2"/>
      <c r="R36" s="7">
        <f t="shared" si="23"/>
        <v>1.9006984135345812E-2</v>
      </c>
      <c r="S36" s="2"/>
      <c r="T36" s="6">
        <v>3324.26</v>
      </c>
      <c r="U36" s="2"/>
      <c r="V36" s="7">
        <f t="shared" si="24"/>
        <v>5.4965643372635764E-2</v>
      </c>
      <c r="W36" s="2"/>
      <c r="X36" s="6">
        <f t="shared" si="25"/>
        <v>4873.3500000000004</v>
      </c>
      <c r="Y36" s="2"/>
      <c r="Z36" s="7">
        <f t="shared" si="26"/>
        <v>1.4659954395865546</v>
      </c>
    </row>
    <row r="37" spans="1:26" s="24" customFormat="1" hidden="1" outlineLevel="2" x14ac:dyDescent="0.25">
      <c r="A37" s="29"/>
      <c r="B37" s="11" t="str">
        <f>CONCATENATE("          ", "6113", " - ", "GROUP INSURANCE")</f>
        <v xml:space="preserve">          6113 - GROUP INSURANCE</v>
      </c>
      <c r="C37" s="11"/>
      <c r="D37" s="6">
        <v>12571.1</v>
      </c>
      <c r="E37" s="2"/>
      <c r="F37" s="7">
        <f t="shared" si="19"/>
        <v>6.091531670527852E-2</v>
      </c>
      <c r="G37" s="2"/>
      <c r="H37" s="6">
        <v>11367.93</v>
      </c>
      <c r="I37" s="2"/>
      <c r="J37" s="7">
        <f t="shared" si="20"/>
        <v>0.26120622505508845</v>
      </c>
      <c r="K37" s="2"/>
      <c r="L37" s="6">
        <f t="shared" si="21"/>
        <v>1203.17</v>
      </c>
      <c r="M37" s="2"/>
      <c r="N37" s="7">
        <f t="shared" si="22"/>
        <v>0.10583896980364939</v>
      </c>
      <c r="O37" s="11"/>
      <c r="P37" s="6">
        <v>49720.88</v>
      </c>
      <c r="Q37" s="2"/>
      <c r="R37" s="7">
        <f t="shared" si="23"/>
        <v>0.11528286626900192</v>
      </c>
      <c r="S37" s="2"/>
      <c r="T37" s="6">
        <v>56341.26</v>
      </c>
      <c r="U37" s="2"/>
      <c r="V37" s="7">
        <f t="shared" si="24"/>
        <v>0.93158585800296867</v>
      </c>
      <c r="W37" s="2"/>
      <c r="X37" s="6">
        <f t="shared" si="25"/>
        <v>-6620.3800000000047</v>
      </c>
      <c r="Y37" s="2"/>
      <c r="Z37" s="7">
        <f t="shared" si="26"/>
        <v>-0.11750500432542695</v>
      </c>
    </row>
    <row r="38" spans="1:26" s="24" customFormat="1" hidden="1" outlineLevel="2" x14ac:dyDescent="0.25">
      <c r="A38" s="29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288.29000000000002</v>
      </c>
      <c r="E38" s="2"/>
      <c r="F38" s="7">
        <f t="shared" si="19"/>
        <v>1.3969562451149656E-3</v>
      </c>
      <c r="G38" s="2"/>
      <c r="H38" s="6">
        <v>104.09</v>
      </c>
      <c r="I38" s="2"/>
      <c r="J38" s="7">
        <f t="shared" si="20"/>
        <v>2.3917244358457662E-3</v>
      </c>
      <c r="K38" s="2"/>
      <c r="L38" s="6">
        <f t="shared" si="21"/>
        <v>184.20000000000002</v>
      </c>
      <c r="M38" s="2"/>
      <c r="N38" s="7">
        <f t="shared" si="22"/>
        <v>1.7696224421173985</v>
      </c>
      <c r="O38" s="11"/>
      <c r="P38" s="6">
        <v>746.46</v>
      </c>
      <c r="Q38" s="2"/>
      <c r="R38" s="7">
        <f t="shared" si="23"/>
        <v>1.7307426649560342E-3</v>
      </c>
      <c r="S38" s="2"/>
      <c r="T38" s="6">
        <v>431.84</v>
      </c>
      <c r="U38" s="2"/>
      <c r="V38" s="7">
        <f t="shared" si="24"/>
        <v>7.1403450494362738E-3</v>
      </c>
      <c r="W38" s="2"/>
      <c r="X38" s="6">
        <f t="shared" si="25"/>
        <v>314.62000000000006</v>
      </c>
      <c r="Y38" s="2"/>
      <c r="Z38" s="7">
        <f t="shared" si="26"/>
        <v>0.72855687291589499</v>
      </c>
    </row>
    <row r="39" spans="1:26" s="24" customFormat="1" hidden="1" outlineLevel="2" x14ac:dyDescent="0.25">
      <c r="A39" s="29"/>
      <c r="B39" s="11" t="str">
        <f>CONCATENATE("          ", "6115", " - ", "P.E.R.S.")</f>
        <v xml:space="preserve">          6115 - P.E.R.S.</v>
      </c>
      <c r="C39" s="11"/>
      <c r="D39" s="6">
        <v>4728.7700000000004</v>
      </c>
      <c r="E39" s="2"/>
      <c r="F39" s="7">
        <f t="shared" si="19"/>
        <v>2.2914026789733588E-2</v>
      </c>
      <c r="G39" s="2"/>
      <c r="H39" s="6">
        <v>3223.68</v>
      </c>
      <c r="I39" s="2"/>
      <c r="J39" s="7">
        <f t="shared" si="20"/>
        <v>7.4071997591961564E-2</v>
      </c>
      <c r="K39" s="2"/>
      <c r="L39" s="6">
        <f t="shared" si="21"/>
        <v>1505.0900000000006</v>
      </c>
      <c r="M39" s="2"/>
      <c r="N39" s="7">
        <f t="shared" si="22"/>
        <v>0.46688567103434603</v>
      </c>
      <c r="O39" s="11"/>
      <c r="P39" s="6">
        <v>14022.82</v>
      </c>
      <c r="Q39" s="2"/>
      <c r="R39" s="7">
        <f t="shared" si="23"/>
        <v>3.2513320013126991E-2</v>
      </c>
      <c r="S39" s="2"/>
      <c r="T39" s="6">
        <v>17102.77</v>
      </c>
      <c r="U39" s="2"/>
      <c r="V39" s="7">
        <f t="shared" si="24"/>
        <v>0.28278917909676554</v>
      </c>
      <c r="W39" s="2"/>
      <c r="X39" s="6">
        <f t="shared" si="25"/>
        <v>-3079.9500000000007</v>
      </c>
      <c r="Y39" s="2"/>
      <c r="Z39" s="7">
        <f t="shared" si="26"/>
        <v>-0.18008486344609678</v>
      </c>
    </row>
    <row r="40" spans="1:26" s="24" customFormat="1" hidden="1" outlineLevel="2" x14ac:dyDescent="0.25">
      <c r="A40" s="29"/>
      <c r="B40" s="11" t="str">
        <f>CONCATENATE("          ", "6118", " - ", "VACATION")</f>
        <v xml:space="preserve">          6118 - VACATION</v>
      </c>
      <c r="C40" s="11"/>
      <c r="D40" s="6">
        <v>4487.97</v>
      </c>
      <c r="E40" s="2"/>
      <c r="F40" s="7">
        <f t="shared" si="19"/>
        <v>2.1747191090182152E-2</v>
      </c>
      <c r="G40" s="2"/>
      <c r="H40" s="6">
        <v>4570.74</v>
      </c>
      <c r="I40" s="2"/>
      <c r="J40" s="7">
        <f t="shared" si="20"/>
        <v>0.10502402294070204</v>
      </c>
      <c r="K40" s="2"/>
      <c r="L40" s="6">
        <f t="shared" si="21"/>
        <v>-82.769999999999527</v>
      </c>
      <c r="M40" s="2"/>
      <c r="N40" s="7">
        <f t="shared" si="22"/>
        <v>-1.8108665117683248E-2</v>
      </c>
      <c r="O40" s="11"/>
      <c r="P40" s="6">
        <v>13399.15</v>
      </c>
      <c r="Q40" s="2"/>
      <c r="R40" s="7">
        <f t="shared" si="23"/>
        <v>3.1067278325892404E-2</v>
      </c>
      <c r="S40" s="2"/>
      <c r="T40" s="6">
        <v>14347.15</v>
      </c>
      <c r="U40" s="2"/>
      <c r="V40" s="7">
        <f t="shared" si="24"/>
        <v>0.2372258277973778</v>
      </c>
      <c r="W40" s="2"/>
      <c r="X40" s="6">
        <f t="shared" si="25"/>
        <v>-948</v>
      </c>
      <c r="Y40" s="2"/>
      <c r="Z40" s="7">
        <f t="shared" si="26"/>
        <v>-6.6075840846439887E-2</v>
      </c>
    </row>
    <row r="41" spans="1:26" s="24" customFormat="1" hidden="1" outlineLevel="2" x14ac:dyDescent="0.25">
      <c r="A41" s="29"/>
      <c r="B41" s="11" t="str">
        <f>CONCATENATE("          ", "6119", " - ", "SICK LEAVE")</f>
        <v xml:space="preserve">          6119 - SICK LEAVE</v>
      </c>
      <c r="C41" s="11"/>
      <c r="D41" s="6">
        <v>2900.7</v>
      </c>
      <c r="E41" s="2"/>
      <c r="F41" s="7">
        <f t="shared" si="19"/>
        <v>1.4055815256182942E-2</v>
      </c>
      <c r="G41" s="2"/>
      <c r="H41" s="6">
        <v>2725.11</v>
      </c>
      <c r="I41" s="2"/>
      <c r="J41" s="7">
        <f t="shared" si="20"/>
        <v>6.2616122368792923E-2</v>
      </c>
      <c r="K41" s="2"/>
      <c r="L41" s="6">
        <f t="shared" si="21"/>
        <v>175.58999999999969</v>
      </c>
      <c r="M41" s="2"/>
      <c r="N41" s="7">
        <f t="shared" si="22"/>
        <v>6.4434096238316863E-2</v>
      </c>
      <c r="O41" s="11"/>
      <c r="P41" s="6">
        <v>8633.9699999999993</v>
      </c>
      <c r="Q41" s="2"/>
      <c r="R41" s="7">
        <f t="shared" si="23"/>
        <v>2.0018728728867518E-2</v>
      </c>
      <c r="S41" s="2"/>
      <c r="T41" s="6">
        <v>8846.2199999999993</v>
      </c>
      <c r="U41" s="2"/>
      <c r="V41" s="7">
        <f t="shared" si="24"/>
        <v>0.14626959796041161</v>
      </c>
      <c r="W41" s="2"/>
      <c r="X41" s="6">
        <f t="shared" si="25"/>
        <v>-212.25</v>
      </c>
      <c r="Y41" s="2"/>
      <c r="Z41" s="7">
        <f t="shared" si="26"/>
        <v>-2.3993298832721773E-2</v>
      </c>
    </row>
    <row r="42" spans="1:26" s="24" customFormat="1" hidden="1" outlineLevel="2" x14ac:dyDescent="0.25">
      <c r="A42" s="29"/>
      <c r="B42" s="11" t="str">
        <f>CONCATENATE("          ", "6156", " - ", "EMPLOYEE MEALS")</f>
        <v xml:space="preserve">          6156 - EMPLOYEE MEALS</v>
      </c>
      <c r="C42" s="11"/>
      <c r="D42" s="6">
        <v>1896.14</v>
      </c>
      <c r="E42" s="2"/>
      <c r="F42" s="7">
        <f t="shared" si="19"/>
        <v>9.1880558278549067E-3</v>
      </c>
      <c r="G42" s="2"/>
      <c r="H42" s="6">
        <v>703.66</v>
      </c>
      <c r="I42" s="2"/>
      <c r="J42" s="7">
        <f t="shared" si="20"/>
        <v>1.6168323724922967E-2</v>
      </c>
      <c r="K42" s="2"/>
      <c r="L42" s="6">
        <f t="shared" si="21"/>
        <v>1192.48</v>
      </c>
      <c r="M42" s="2"/>
      <c r="N42" s="7">
        <f t="shared" si="22"/>
        <v>1.6946820907824802</v>
      </c>
      <c r="O42" s="11"/>
      <c r="P42" s="6">
        <v>5629.16</v>
      </c>
      <c r="Q42" s="2"/>
      <c r="R42" s="7">
        <f t="shared" si="23"/>
        <v>1.3051774214109139E-2</v>
      </c>
      <c r="S42" s="2"/>
      <c r="T42" s="6">
        <v>3146.86</v>
      </c>
      <c r="U42" s="2"/>
      <c r="V42" s="7">
        <f t="shared" si="24"/>
        <v>5.2032387509885682E-2</v>
      </c>
      <c r="W42" s="2"/>
      <c r="X42" s="6">
        <f t="shared" si="25"/>
        <v>2482.2999999999997</v>
      </c>
      <c r="Y42" s="2"/>
      <c r="Z42" s="7">
        <f t="shared" si="26"/>
        <v>0.78881805990733611</v>
      </c>
    </row>
    <row r="43" spans="1:26" s="28" customFormat="1" outlineLevel="1" collapsed="1" x14ac:dyDescent="0.25">
      <c r="A43" s="27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SUM(OSRRefD22_1x_0)</f>
        <v>86531.97</v>
      </c>
      <c r="E43" s="1"/>
      <c r="F43" s="5">
        <f t="shared" ref="F43:F48" si="27">IF(D$12=0,0,D43/D$12)</f>
        <v>0.41930478300877883</v>
      </c>
      <c r="G43" s="1"/>
      <c r="H43" s="1">
        <f>SUM(OSRRefH22_1x_0)</f>
        <v>37076.53</v>
      </c>
      <c r="I43" s="1"/>
      <c r="J43" s="5">
        <f t="shared" ref="J43:J48" si="28">IF(H$12=0,0,H43/H$12)</f>
        <v>0.85192470743941406</v>
      </c>
      <c r="K43" s="1"/>
      <c r="L43" s="1">
        <f t="shared" ref="L43:L48" si="29">+D43-H43</f>
        <v>49455.44</v>
      </c>
      <c r="M43" s="1"/>
      <c r="N43" s="5">
        <f t="shared" ref="N43:N48" si="30">IF(H43=0,0,L43/H43)</f>
        <v>1.3338745562219552</v>
      </c>
      <c r="O43" s="14"/>
      <c r="P43" s="1">
        <f>SUM(OSRRefP22_1x_0)</f>
        <v>274890.98000000004</v>
      </c>
      <c r="Q43" s="1"/>
      <c r="R43" s="5">
        <f t="shared" ref="R43:R48" si="31">IF(P$12=0,0,P43/P$12)</f>
        <v>0.6373624136558903</v>
      </c>
      <c r="S43" s="1"/>
      <c r="T43" s="1">
        <f>SUM(OSRRefT22_1x_0)</f>
        <v>166736.89999999997</v>
      </c>
      <c r="U43" s="1"/>
      <c r="V43" s="5">
        <f t="shared" ref="V43:V48" si="32">IF(T$12=0,0,T43/T$12)</f>
        <v>2.7569446982061661</v>
      </c>
      <c r="W43" s="1"/>
      <c r="X43" s="1">
        <f t="shared" ref="X43:X48" si="33">+P43-T43</f>
        <v>108154.08000000007</v>
      </c>
      <c r="Y43" s="1"/>
      <c r="Z43" s="5">
        <f t="shared" ref="Z43:Z48" si="34">IF(T43=0,0,X43/T43)</f>
        <v>0.64865113841027444</v>
      </c>
    </row>
    <row r="44" spans="1:26" s="24" customFormat="1" hidden="1" outlineLevel="2" x14ac:dyDescent="0.25">
      <c r="A44" s="29"/>
      <c r="B44" s="11" t="str">
        <f>CONCATENATE("          ", "6001", " - ", "ADMINISTRATIVE SALARIES")</f>
        <v xml:space="preserve">          6001 - ADMINISTRATIVE SALARIES</v>
      </c>
      <c r="C44" s="11"/>
      <c r="D44" s="6">
        <v>10516.14</v>
      </c>
      <c r="E44" s="2"/>
      <c r="F44" s="7">
        <f t="shared" si="27"/>
        <v>5.0957672647345707E-2</v>
      </c>
      <c r="G44" s="2"/>
      <c r="H44" s="6">
        <v>10516.14</v>
      </c>
      <c r="I44" s="2"/>
      <c r="J44" s="7">
        <f t="shared" si="28"/>
        <v>0.24163424929171959</v>
      </c>
      <c r="K44" s="2"/>
      <c r="L44" s="6">
        <f t="shared" si="29"/>
        <v>0</v>
      </c>
      <c r="M44" s="2"/>
      <c r="N44" s="7">
        <f t="shared" si="30"/>
        <v>0</v>
      </c>
      <c r="O44" s="11"/>
      <c r="P44" s="6">
        <v>43723.66</v>
      </c>
      <c r="Q44" s="2"/>
      <c r="R44" s="7">
        <f t="shared" si="31"/>
        <v>0.10137770788793982</v>
      </c>
      <c r="S44" s="2"/>
      <c r="T44" s="6">
        <v>43862.03</v>
      </c>
      <c r="U44" s="2"/>
      <c r="V44" s="7">
        <f t="shared" si="32"/>
        <v>0.72524552790090158</v>
      </c>
      <c r="W44" s="2"/>
      <c r="X44" s="6">
        <f t="shared" si="33"/>
        <v>-138.36999999999534</v>
      </c>
      <c r="Y44" s="2"/>
      <c r="Z44" s="7">
        <f t="shared" si="34"/>
        <v>-3.1546647521784868E-3</v>
      </c>
    </row>
    <row r="45" spans="1:26" s="24" customFormat="1" hidden="1" outlineLevel="2" x14ac:dyDescent="0.25">
      <c r="A45" s="29"/>
      <c r="B45" s="11" t="str">
        <f>CONCATENATE("          ", "6002", " - ", "STAFF SALARIES")</f>
        <v xml:space="preserve">          6002 - STAFF SALARIES</v>
      </c>
      <c r="C45" s="11"/>
      <c r="D45" s="6">
        <v>25037.65</v>
      </c>
      <c r="E45" s="2"/>
      <c r="F45" s="7">
        <f t="shared" si="27"/>
        <v>0.12132401932256658</v>
      </c>
      <c r="G45" s="2"/>
      <c r="H45" s="6">
        <v>21968.26</v>
      </c>
      <c r="I45" s="2"/>
      <c r="J45" s="7">
        <f t="shared" si="28"/>
        <v>0.50477494720927185</v>
      </c>
      <c r="K45" s="2"/>
      <c r="L45" s="6">
        <f t="shared" si="29"/>
        <v>3069.3900000000031</v>
      </c>
      <c r="M45" s="2"/>
      <c r="N45" s="7">
        <f t="shared" si="30"/>
        <v>0.1397193041233126</v>
      </c>
      <c r="O45" s="11"/>
      <c r="P45" s="6">
        <v>89523</v>
      </c>
      <c r="Q45" s="2"/>
      <c r="R45" s="7">
        <f t="shared" si="31"/>
        <v>0.20756808883913275</v>
      </c>
      <c r="S45" s="2"/>
      <c r="T45" s="6">
        <v>103199.27</v>
      </c>
      <c r="U45" s="2"/>
      <c r="V45" s="7">
        <f t="shared" si="32"/>
        <v>1.7063690178073763</v>
      </c>
      <c r="W45" s="2"/>
      <c r="X45" s="6">
        <f t="shared" si="33"/>
        <v>-13676.270000000004</v>
      </c>
      <c r="Y45" s="2"/>
      <c r="Z45" s="7">
        <f t="shared" si="34"/>
        <v>-0.13252293354400668</v>
      </c>
    </row>
    <row r="46" spans="1:26" s="24" customFormat="1" hidden="1" outlineLevel="2" x14ac:dyDescent="0.25">
      <c r="A46" s="29"/>
      <c r="B46" s="11" t="str">
        <f>CONCATENATE("          ", "6004", " - ", "STAFF HOURLY")</f>
        <v xml:space="preserve">          6004 - STAFF HOURLY</v>
      </c>
      <c r="C46" s="11"/>
      <c r="D46" s="6">
        <v>11612.94</v>
      </c>
      <c r="E46" s="2"/>
      <c r="F46" s="7">
        <f t="shared" si="27"/>
        <v>5.6272396049621524E-2</v>
      </c>
      <c r="G46" s="2"/>
      <c r="H46" s="6">
        <v>4641.7</v>
      </c>
      <c r="I46" s="2"/>
      <c r="J46" s="7">
        <f t="shared" si="28"/>
        <v>0.1066545039279978</v>
      </c>
      <c r="K46" s="2"/>
      <c r="L46" s="6">
        <f t="shared" si="29"/>
        <v>6971.2400000000007</v>
      </c>
      <c r="M46" s="2"/>
      <c r="N46" s="7">
        <f t="shared" si="30"/>
        <v>1.5018721589072972</v>
      </c>
      <c r="O46" s="11"/>
      <c r="P46" s="6">
        <v>36350.97</v>
      </c>
      <c r="Q46" s="2"/>
      <c r="R46" s="7">
        <f t="shared" si="31"/>
        <v>8.4283383827046116E-2</v>
      </c>
      <c r="S46" s="2"/>
      <c r="T46" s="6">
        <v>15347.3</v>
      </c>
      <c r="U46" s="2"/>
      <c r="V46" s="7">
        <f t="shared" si="32"/>
        <v>0.2537630084689082</v>
      </c>
      <c r="W46" s="2"/>
      <c r="X46" s="6">
        <f t="shared" si="33"/>
        <v>21003.670000000002</v>
      </c>
      <c r="Y46" s="2"/>
      <c r="Z46" s="7">
        <f t="shared" si="34"/>
        <v>1.368557987398435</v>
      </c>
    </row>
    <row r="47" spans="1:26" s="24" customFormat="1" hidden="1" outlineLevel="2" x14ac:dyDescent="0.25">
      <c r="A47" s="29"/>
      <c r="B47" s="11" t="str">
        <f>CONCATENATE("          ", "6005", " - ", "TEMPORARY WAGES-HOURLY")</f>
        <v xml:space="preserve">          6005 - TEMPORARY WAGES-HOURLY</v>
      </c>
      <c r="C47" s="11"/>
      <c r="D47" s="6">
        <v>21712.23</v>
      </c>
      <c r="E47" s="2"/>
      <c r="F47" s="7">
        <f t="shared" si="27"/>
        <v>0.10521015399033094</v>
      </c>
      <c r="G47" s="2"/>
      <c r="H47" s="6">
        <v>1052.72</v>
      </c>
      <c r="I47" s="2"/>
      <c r="J47" s="7">
        <f t="shared" si="28"/>
        <v>2.4188838006566959E-2</v>
      </c>
      <c r="K47" s="2"/>
      <c r="L47" s="6">
        <f t="shared" si="29"/>
        <v>20659.509999999998</v>
      </c>
      <c r="M47" s="2"/>
      <c r="N47" s="7">
        <f t="shared" si="30"/>
        <v>19.624886009575192</v>
      </c>
      <c r="O47" s="11"/>
      <c r="P47" s="6">
        <v>51852.45</v>
      </c>
      <c r="Q47" s="2"/>
      <c r="R47" s="7">
        <f t="shared" si="31"/>
        <v>0.12022512592436232</v>
      </c>
      <c r="S47" s="2"/>
      <c r="T47" s="6">
        <v>4258.59</v>
      </c>
      <c r="U47" s="2"/>
      <c r="V47" s="7">
        <f t="shared" si="32"/>
        <v>7.0414510059463739E-2</v>
      </c>
      <c r="W47" s="2"/>
      <c r="X47" s="6">
        <f t="shared" si="33"/>
        <v>47593.86</v>
      </c>
      <c r="Y47" s="2"/>
      <c r="Z47" s="7">
        <f t="shared" si="34"/>
        <v>11.175966693201271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6">
        <v>17653.009999999998</v>
      </c>
      <c r="E48" s="2"/>
      <c r="F48" s="7">
        <f t="shared" si="27"/>
        <v>8.5540540998914061E-2</v>
      </c>
      <c r="G48" s="2"/>
      <c r="H48" s="6">
        <v>-1102.29</v>
      </c>
      <c r="I48" s="2"/>
      <c r="J48" s="7">
        <f t="shared" si="28"/>
        <v>-2.5327830996142081E-2</v>
      </c>
      <c r="K48" s="2"/>
      <c r="L48" s="6">
        <f t="shared" si="29"/>
        <v>18755.3</v>
      </c>
      <c r="M48" s="2"/>
      <c r="N48" s="7">
        <f t="shared" si="30"/>
        <v>-17.014850901305465</v>
      </c>
      <c r="O48" s="11"/>
      <c r="P48" s="6">
        <v>53440.9</v>
      </c>
      <c r="Q48" s="2"/>
      <c r="R48" s="7">
        <f t="shared" si="31"/>
        <v>0.12390810717740927</v>
      </c>
      <c r="S48" s="2"/>
      <c r="T48" s="6">
        <v>69.709999999999994</v>
      </c>
      <c r="U48" s="2"/>
      <c r="V48" s="7">
        <f t="shared" si="32"/>
        <v>1.1526339695169569E-3</v>
      </c>
      <c r="W48" s="2"/>
      <c r="X48" s="6">
        <f t="shared" si="33"/>
        <v>53371.19</v>
      </c>
      <c r="Y48" s="2"/>
      <c r="Z48" s="7">
        <f t="shared" si="34"/>
        <v>765.61741500502092</v>
      </c>
    </row>
    <row r="49" spans="1:26" s="28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50.23</v>
      </c>
      <c r="E49" s="1"/>
      <c r="F49" s="5">
        <f t="shared" ref="F49:F57" si="35">IF(D$12=0,0,D49/D$12)</f>
        <v>2.4339766274281008E-4</v>
      </c>
      <c r="G49" s="1"/>
      <c r="H49" s="1">
        <f>SUM(OSRRefH22_2x_0)</f>
        <v>15.05</v>
      </c>
      <c r="I49" s="1"/>
      <c r="J49" s="5">
        <f t="shared" ref="J49:J57" si="36">IF(H$12=0,0,H49/H$12)</f>
        <v>3.4581086328637505E-4</v>
      </c>
      <c r="K49" s="1"/>
      <c r="L49" s="1">
        <f t="shared" ref="L49:L57" si="37">+D49-H49</f>
        <v>35.179999999999993</v>
      </c>
      <c r="M49" s="1"/>
      <c r="N49" s="5">
        <f t="shared" ref="N49:N57" si="38">IF(H49=0,0,L49/H49)</f>
        <v>2.337541528239202</v>
      </c>
      <c r="O49" s="14"/>
      <c r="P49" s="1">
        <f>SUM(OSRRefP22_2x_0)</f>
        <v>811.26</v>
      </c>
      <c r="Q49" s="1"/>
      <c r="R49" s="5">
        <f t="shared" ref="R49:R57" si="39">IF(P$12=0,0,P49/P$12)</f>
        <v>1.880987989138376E-3</v>
      </c>
      <c r="S49" s="1"/>
      <c r="T49" s="1">
        <f>SUM(OSRRefT22_2x_0)</f>
        <v>110.63</v>
      </c>
      <c r="U49" s="1"/>
      <c r="V49" s="5">
        <f t="shared" ref="V49:V57" si="40">IF(T$12=0,0,T49/T$12)</f>
        <v>1.8292339126045178E-3</v>
      </c>
      <c r="W49" s="1"/>
      <c r="X49" s="1">
        <f t="shared" ref="X49:X57" si="41">+P49-T49</f>
        <v>700.63</v>
      </c>
      <c r="Y49" s="1"/>
      <c r="Z49" s="5">
        <f t="shared" ref="Z49:Z57" si="42">IF(T49=0,0,X49/T49)</f>
        <v>6.3330922896140294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6">
        <v>50.23</v>
      </c>
      <c r="E50" s="2"/>
      <c r="F50" s="7">
        <f t="shared" si="35"/>
        <v>2.4339766274281008E-4</v>
      </c>
      <c r="G50" s="2"/>
      <c r="H50" s="6">
        <v>15.05</v>
      </c>
      <c r="I50" s="2"/>
      <c r="J50" s="7">
        <f t="shared" si="36"/>
        <v>3.4581086328637505E-4</v>
      </c>
      <c r="K50" s="2"/>
      <c r="L50" s="6">
        <f t="shared" si="37"/>
        <v>35.179999999999993</v>
      </c>
      <c r="M50" s="2"/>
      <c r="N50" s="7">
        <f t="shared" si="38"/>
        <v>2.337541528239202</v>
      </c>
      <c r="O50" s="11"/>
      <c r="P50" s="6">
        <v>811.26</v>
      </c>
      <c r="Q50" s="2"/>
      <c r="R50" s="7">
        <f t="shared" si="39"/>
        <v>1.880987989138376E-3</v>
      </c>
      <c r="S50" s="2"/>
      <c r="T50" s="6">
        <v>110.63</v>
      </c>
      <c r="U50" s="2"/>
      <c r="V50" s="7">
        <f t="shared" si="40"/>
        <v>1.8292339126045178E-3</v>
      </c>
      <c r="W50" s="2"/>
      <c r="X50" s="6">
        <f t="shared" si="41"/>
        <v>700.63</v>
      </c>
      <c r="Y50" s="2"/>
      <c r="Z50" s="7">
        <f t="shared" si="42"/>
        <v>6.3330922896140294</v>
      </c>
    </row>
    <row r="51" spans="1:26" s="28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-3.12</v>
      </c>
      <c r="E51" s="1"/>
      <c r="F51" s="5">
        <f t="shared" si="35"/>
        <v>-1.5118469196845859E-5</v>
      </c>
      <c r="G51" s="1"/>
      <c r="H51" s="1">
        <f>SUM(OSRRefH22_3x_0)</f>
        <v>1531.8</v>
      </c>
      <c r="I51" s="1"/>
      <c r="J51" s="5">
        <f t="shared" si="36"/>
        <v>3.5196882417413242E-2</v>
      </c>
      <c r="K51" s="1"/>
      <c r="L51" s="1">
        <f t="shared" si="37"/>
        <v>-1534.9199999999998</v>
      </c>
      <c r="M51" s="1"/>
      <c r="N51" s="5">
        <f t="shared" si="38"/>
        <v>-1.0020368194281237</v>
      </c>
      <c r="O51" s="14"/>
      <c r="P51" s="1">
        <f>SUM(OSRRefP22_3x_0)</f>
        <v>-103.92</v>
      </c>
      <c r="Q51" s="1"/>
      <c r="R51" s="5">
        <f t="shared" si="39"/>
        <v>-2.4094898285538551E-4</v>
      </c>
      <c r="S51" s="1"/>
      <c r="T51" s="1">
        <f>SUM(OSRRefT22_3x_0)</f>
        <v>1341.59</v>
      </c>
      <c r="U51" s="1"/>
      <c r="V51" s="5">
        <f t="shared" si="40"/>
        <v>2.2182788798798654E-2</v>
      </c>
      <c r="W51" s="1"/>
      <c r="X51" s="1">
        <f t="shared" si="41"/>
        <v>-1445.51</v>
      </c>
      <c r="Y51" s="1"/>
      <c r="Z51" s="5">
        <f t="shared" si="42"/>
        <v>-1.0774603269255139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6">
        <v>-3.12</v>
      </c>
      <c r="E52" s="2"/>
      <c r="F52" s="7">
        <f t="shared" si="35"/>
        <v>-1.5118469196845859E-5</v>
      </c>
      <c r="G52" s="2"/>
      <c r="H52" s="6">
        <v>1531.8</v>
      </c>
      <c r="I52" s="2"/>
      <c r="J52" s="7">
        <f t="shared" si="36"/>
        <v>3.5196882417413242E-2</v>
      </c>
      <c r="K52" s="2"/>
      <c r="L52" s="6">
        <f t="shared" si="37"/>
        <v>-1534.9199999999998</v>
      </c>
      <c r="M52" s="2"/>
      <c r="N52" s="7">
        <f t="shared" si="38"/>
        <v>-1.0020368194281237</v>
      </c>
      <c r="O52" s="11"/>
      <c r="P52" s="6">
        <v>-103.92</v>
      </c>
      <c r="Q52" s="2"/>
      <c r="R52" s="7">
        <f t="shared" si="39"/>
        <v>-2.4094898285538551E-4</v>
      </c>
      <c r="S52" s="2"/>
      <c r="T52" s="6">
        <v>1341.59</v>
      </c>
      <c r="U52" s="2"/>
      <c r="V52" s="7">
        <f t="shared" si="40"/>
        <v>2.2182788798798654E-2</v>
      </c>
      <c r="W52" s="2"/>
      <c r="X52" s="6">
        <f t="shared" si="41"/>
        <v>-1445.51</v>
      </c>
      <c r="Y52" s="2"/>
      <c r="Z52" s="7">
        <f t="shared" si="42"/>
        <v>-1.0774603269255139</v>
      </c>
    </row>
    <row r="53" spans="1:26" s="28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7396.63</v>
      </c>
      <c r="E53" s="1"/>
      <c r="F53" s="5">
        <f t="shared" si="35"/>
        <v>3.5841577825469866E-2</v>
      </c>
      <c r="G53" s="1"/>
      <c r="H53" s="1">
        <f>SUM(OSRRefH22_4x_0)</f>
        <v>962.55</v>
      </c>
      <c r="I53" s="1"/>
      <c r="J53" s="5">
        <f t="shared" si="36"/>
        <v>2.2116959897428588E-2</v>
      </c>
      <c r="K53" s="1"/>
      <c r="L53" s="1">
        <f t="shared" si="37"/>
        <v>6434.08</v>
      </c>
      <c r="M53" s="1"/>
      <c r="N53" s="5">
        <f t="shared" si="38"/>
        <v>6.6844111994182125</v>
      </c>
      <c r="O53" s="14"/>
      <c r="P53" s="1">
        <f>SUM(OSRRefP22_4x_0)</f>
        <v>16980.3</v>
      </c>
      <c r="Q53" s="1"/>
      <c r="R53" s="5">
        <f t="shared" si="39"/>
        <v>3.9370535157614531E-2</v>
      </c>
      <c r="S53" s="1"/>
      <c r="T53" s="1">
        <f>SUM(OSRRefT22_4x_0)</f>
        <v>2302.0500000000002</v>
      </c>
      <c r="U53" s="1"/>
      <c r="V53" s="5">
        <f t="shared" si="40"/>
        <v>3.8063707208815245E-2</v>
      </c>
      <c r="W53" s="1"/>
      <c r="X53" s="1">
        <f t="shared" si="41"/>
        <v>14678.25</v>
      </c>
      <c r="Y53" s="1"/>
      <c r="Z53" s="5">
        <f t="shared" si="42"/>
        <v>6.3761647227471165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6">
        <v>7396.63</v>
      </c>
      <c r="E54" s="2"/>
      <c r="F54" s="7">
        <f t="shared" si="35"/>
        <v>3.5841577825469866E-2</v>
      </c>
      <c r="G54" s="2"/>
      <c r="H54" s="6">
        <v>962.55</v>
      </c>
      <c r="I54" s="2"/>
      <c r="J54" s="7">
        <f t="shared" si="36"/>
        <v>2.2116959897428588E-2</v>
      </c>
      <c r="K54" s="2"/>
      <c r="L54" s="6">
        <f t="shared" si="37"/>
        <v>6434.08</v>
      </c>
      <c r="M54" s="2"/>
      <c r="N54" s="7">
        <f t="shared" si="38"/>
        <v>6.6844111994182125</v>
      </c>
      <c r="O54" s="11"/>
      <c r="P54" s="6">
        <v>16980.3</v>
      </c>
      <c r="Q54" s="2"/>
      <c r="R54" s="7">
        <f t="shared" si="39"/>
        <v>3.9370535157614531E-2</v>
      </c>
      <c r="S54" s="2"/>
      <c r="T54" s="6">
        <v>2302.0500000000002</v>
      </c>
      <c r="U54" s="2"/>
      <c r="V54" s="7">
        <f t="shared" si="40"/>
        <v>3.8063707208815245E-2</v>
      </c>
      <c r="W54" s="2"/>
      <c r="X54" s="6">
        <f t="shared" si="41"/>
        <v>14678.25</v>
      </c>
      <c r="Y54" s="2"/>
      <c r="Z54" s="7">
        <f t="shared" si="42"/>
        <v>6.3761647227471165</v>
      </c>
    </row>
    <row r="55" spans="1:26" s="28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39106.79</v>
      </c>
      <c r="E55" s="1"/>
      <c r="F55" s="5">
        <f t="shared" si="35"/>
        <v>0.18949833333414093</v>
      </c>
      <c r="G55" s="1"/>
      <c r="H55" s="1">
        <f>SUM(OSRRefH22_5x_0)</f>
        <v>46041.58</v>
      </c>
      <c r="I55" s="1"/>
      <c r="J55" s="5">
        <f t="shared" si="36"/>
        <v>1.0579188389945979</v>
      </c>
      <c r="K55" s="1"/>
      <c r="L55" s="1">
        <f t="shared" si="37"/>
        <v>-6934.7900000000009</v>
      </c>
      <c r="M55" s="1"/>
      <c r="N55" s="5">
        <f t="shared" si="38"/>
        <v>-0.15062015682346264</v>
      </c>
      <c r="O55" s="14"/>
      <c r="P55" s="1">
        <f>SUM(OSRRefP22_5x_0)</f>
        <v>158947.66</v>
      </c>
      <c r="Q55" s="1"/>
      <c r="R55" s="5">
        <f t="shared" si="39"/>
        <v>0.36853615285068941</v>
      </c>
      <c r="S55" s="1"/>
      <c r="T55" s="1">
        <f>SUM(OSRRefT22_5x_0)</f>
        <v>186496.2</v>
      </c>
      <c r="U55" s="1"/>
      <c r="V55" s="5">
        <f t="shared" si="40"/>
        <v>3.0836588051330986</v>
      </c>
      <c r="W55" s="1"/>
      <c r="X55" s="1">
        <f t="shared" si="41"/>
        <v>-27548.540000000008</v>
      </c>
      <c r="Y55" s="1"/>
      <c r="Z55" s="5">
        <f t="shared" si="42"/>
        <v>-0.14771636097679205</v>
      </c>
    </row>
    <row r="56" spans="1:26" s="24" customFormat="1" hidden="1" outlineLevel="2" x14ac:dyDescent="0.25">
      <c r="A56" s="29"/>
      <c r="B56" s="11" t="str">
        <f>CONCATENATE("          ", "6321", " - ", "BUILDING DEPRECIATION")</f>
        <v xml:space="preserve">          6321 - BUILDING DEPRECIATION</v>
      </c>
      <c r="C56" s="11"/>
      <c r="D56" s="6">
        <v>28619.91</v>
      </c>
      <c r="E56" s="2"/>
      <c r="F56" s="7">
        <f t="shared" si="35"/>
        <v>0.13868244479214767</v>
      </c>
      <c r="G56" s="2"/>
      <c r="H56" s="6">
        <v>28664</v>
      </c>
      <c r="I56" s="2"/>
      <c r="J56" s="7">
        <f t="shared" si="36"/>
        <v>0.65862608539805012</v>
      </c>
      <c r="K56" s="2"/>
      <c r="L56" s="6">
        <f t="shared" si="37"/>
        <v>-44.090000000000146</v>
      </c>
      <c r="M56" s="2"/>
      <c r="N56" s="7">
        <f t="shared" si="38"/>
        <v>-1.5381663410549869E-3</v>
      </c>
      <c r="O56" s="11"/>
      <c r="P56" s="6">
        <v>114567.78</v>
      </c>
      <c r="Q56" s="2"/>
      <c r="R56" s="7">
        <f t="shared" si="39"/>
        <v>0.26563693282332157</v>
      </c>
      <c r="S56" s="2"/>
      <c r="T56" s="6">
        <v>115440.19</v>
      </c>
      <c r="U56" s="2"/>
      <c r="V56" s="7">
        <f t="shared" si="40"/>
        <v>1.9087689634412812</v>
      </c>
      <c r="W56" s="2"/>
      <c r="X56" s="6">
        <f t="shared" si="41"/>
        <v>-872.41000000000349</v>
      </c>
      <c r="Y56" s="2"/>
      <c r="Z56" s="7">
        <f t="shared" si="42"/>
        <v>-7.5572467439632895E-3</v>
      </c>
    </row>
    <row r="57" spans="1:26" s="24" customFormat="1" hidden="1" outlineLevel="2" x14ac:dyDescent="0.2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10486.88</v>
      </c>
      <c r="E57" s="2"/>
      <c r="F57" s="7">
        <f t="shared" si="35"/>
        <v>5.0815888541993232E-2</v>
      </c>
      <c r="G57" s="2"/>
      <c r="H57" s="6">
        <v>17377.580000000002</v>
      </c>
      <c r="I57" s="2"/>
      <c r="J57" s="7">
        <f t="shared" si="36"/>
        <v>0.39929275359654787</v>
      </c>
      <c r="K57" s="2"/>
      <c r="L57" s="6">
        <f t="shared" si="37"/>
        <v>-6890.7000000000025</v>
      </c>
      <c r="M57" s="2"/>
      <c r="N57" s="7">
        <f t="shared" si="38"/>
        <v>-0.39652817020551778</v>
      </c>
      <c r="O57" s="11"/>
      <c r="P57" s="6">
        <v>44379.88</v>
      </c>
      <c r="Q57" s="2"/>
      <c r="R57" s="7">
        <f t="shared" si="39"/>
        <v>0.10289922002736783</v>
      </c>
      <c r="S57" s="2"/>
      <c r="T57" s="6">
        <v>71056.009999999995</v>
      </c>
      <c r="U57" s="2"/>
      <c r="V57" s="7">
        <f t="shared" si="40"/>
        <v>1.1748898416918172</v>
      </c>
      <c r="W57" s="2"/>
      <c r="X57" s="6">
        <f t="shared" si="41"/>
        <v>-26676.129999999997</v>
      </c>
      <c r="Y57" s="2"/>
      <c r="Z57" s="7">
        <f t="shared" si="42"/>
        <v>-0.37542397891466184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123.17</v>
      </c>
      <c r="E58" s="1"/>
      <c r="F58" s="5">
        <f t="shared" ref="F58:F64" si="43">IF(D$12=0,0,D58/D$12)</f>
        <v>5.9684033685112323E-4</v>
      </c>
      <c r="G58" s="1"/>
      <c r="H58" s="1">
        <f>SUM(OSRRefH22_6x_0)</f>
        <v>0</v>
      </c>
      <c r="I58" s="1"/>
      <c r="J58" s="5">
        <f t="shared" ref="J58:J64" si="44">IF(H$12=0,0,H58/H$12)</f>
        <v>0</v>
      </c>
      <c r="K58" s="1"/>
      <c r="L58" s="1">
        <f t="shared" ref="L58:L64" si="45">+D58-H58</f>
        <v>123.17</v>
      </c>
      <c r="M58" s="1"/>
      <c r="N58" s="5">
        <f t="shared" ref="N58:N64" si="46">IF(H58=0,0,L58/H58)</f>
        <v>0</v>
      </c>
      <c r="O58" s="14"/>
      <c r="P58" s="1">
        <f>SUM(OSRRefP22_6x_0)</f>
        <v>141.16999999999999</v>
      </c>
      <c r="Q58" s="1"/>
      <c r="R58" s="5">
        <f t="shared" ref="R58:R64" si="47">IF(P$12=0,0,P58/P$12)</f>
        <v>3.2731685825341384E-4</v>
      </c>
      <c r="S58" s="1"/>
      <c r="T58" s="1">
        <f>SUM(OSRRefT22_6x_0)</f>
        <v>0</v>
      </c>
      <c r="U58" s="1"/>
      <c r="V58" s="5">
        <f t="shared" ref="V58:V64" si="48">IF(T$12=0,0,T58/T$12)</f>
        <v>0</v>
      </c>
      <c r="W58" s="1"/>
      <c r="X58" s="1">
        <f t="shared" ref="X58:X64" si="49">+P58-T58</f>
        <v>141.16999999999999</v>
      </c>
      <c r="Y58" s="1"/>
      <c r="Z58" s="5">
        <f t="shared" ref="Z58:Z64" si="50">IF(T58=0,0,X58/T58)</f>
        <v>0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6">
        <v>123.17</v>
      </c>
      <c r="E59" s="2"/>
      <c r="F59" s="7">
        <f t="shared" si="43"/>
        <v>5.9684033685112323E-4</v>
      </c>
      <c r="G59" s="2"/>
      <c r="H59" s="6"/>
      <c r="I59" s="2"/>
      <c r="J59" s="7">
        <f t="shared" si="44"/>
        <v>0</v>
      </c>
      <c r="K59" s="2"/>
      <c r="L59" s="6">
        <f t="shared" si="45"/>
        <v>123.17</v>
      </c>
      <c r="M59" s="2"/>
      <c r="N59" s="7">
        <f t="shared" si="46"/>
        <v>0</v>
      </c>
      <c r="O59" s="11"/>
      <c r="P59" s="6">
        <v>141.16999999999999</v>
      </c>
      <c r="Q59" s="2"/>
      <c r="R59" s="7">
        <f t="shared" si="47"/>
        <v>3.2731685825341384E-4</v>
      </c>
      <c r="S59" s="2"/>
      <c r="T59" s="6"/>
      <c r="U59" s="2"/>
      <c r="V59" s="7">
        <f t="shared" si="48"/>
        <v>0</v>
      </c>
      <c r="W59" s="2"/>
      <c r="X59" s="6">
        <f t="shared" si="49"/>
        <v>141.16999999999999</v>
      </c>
      <c r="Y59" s="2"/>
      <c r="Z59" s="7">
        <f t="shared" si="50"/>
        <v>0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1125.7</v>
      </c>
      <c r="E60" s="1"/>
      <c r="F60" s="5">
        <f t="shared" si="43"/>
        <v>5.4547630688748022E-3</v>
      </c>
      <c r="G60" s="1"/>
      <c r="H60" s="1">
        <f>SUM(OSRRefH22_7x_0)</f>
        <v>1984.06</v>
      </c>
      <c r="I60" s="1"/>
      <c r="J60" s="5">
        <f t="shared" si="44"/>
        <v>4.5588671190163806E-2</v>
      </c>
      <c r="K60" s="1"/>
      <c r="L60" s="1">
        <f t="shared" si="45"/>
        <v>-858.3599999999999</v>
      </c>
      <c r="M60" s="1"/>
      <c r="N60" s="5">
        <f t="shared" si="46"/>
        <v>-0.43262804552281681</v>
      </c>
      <c r="O60" s="14"/>
      <c r="P60" s="1">
        <f>SUM(OSRRefP22_7x_0)</f>
        <v>2924.41</v>
      </c>
      <c r="Q60" s="1"/>
      <c r="R60" s="5">
        <f t="shared" si="47"/>
        <v>6.7805390199395486E-3</v>
      </c>
      <c r="S60" s="1"/>
      <c r="T60" s="1">
        <f>SUM(OSRRefT22_7x_0)</f>
        <v>3300.67</v>
      </c>
      <c r="U60" s="1"/>
      <c r="V60" s="5">
        <f t="shared" si="48"/>
        <v>5.4575589788631959E-2</v>
      </c>
      <c r="W60" s="1"/>
      <c r="X60" s="1">
        <f t="shared" si="49"/>
        <v>-376.26000000000022</v>
      </c>
      <c r="Y60" s="1"/>
      <c r="Z60" s="5">
        <f t="shared" si="50"/>
        <v>-0.11399503737120045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1125.7</v>
      </c>
      <c r="E61" s="2"/>
      <c r="F61" s="7">
        <f t="shared" si="43"/>
        <v>5.4547630688748022E-3</v>
      </c>
      <c r="G61" s="2"/>
      <c r="H61" s="6">
        <v>1984.06</v>
      </c>
      <c r="I61" s="2"/>
      <c r="J61" s="7">
        <f t="shared" si="44"/>
        <v>4.5588671190163806E-2</v>
      </c>
      <c r="K61" s="2"/>
      <c r="L61" s="6">
        <f t="shared" si="45"/>
        <v>-858.3599999999999</v>
      </c>
      <c r="M61" s="2"/>
      <c r="N61" s="7">
        <f t="shared" si="46"/>
        <v>-0.43262804552281681</v>
      </c>
      <c r="O61" s="11"/>
      <c r="P61" s="6">
        <v>2924.41</v>
      </c>
      <c r="Q61" s="2"/>
      <c r="R61" s="7">
        <f t="shared" si="47"/>
        <v>6.7805390199395486E-3</v>
      </c>
      <c r="S61" s="2"/>
      <c r="T61" s="6">
        <v>3300.67</v>
      </c>
      <c r="U61" s="2"/>
      <c r="V61" s="7">
        <f t="shared" si="48"/>
        <v>5.4575589788631959E-2</v>
      </c>
      <c r="W61" s="2"/>
      <c r="X61" s="6">
        <f t="shared" si="49"/>
        <v>-376.26000000000022</v>
      </c>
      <c r="Y61" s="2"/>
      <c r="Z61" s="7">
        <f t="shared" si="50"/>
        <v>-0.11399503737120045</v>
      </c>
    </row>
    <row r="62" spans="1:26" s="28" customFormat="1" outlineLevel="1" collapsed="1" x14ac:dyDescent="0.25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SUM(OSRRefD22_8x_0)</f>
        <v>0</v>
      </c>
      <c r="E62" s="1"/>
      <c r="F62" s="5">
        <f t="shared" si="43"/>
        <v>0</v>
      </c>
      <c r="G62" s="1"/>
      <c r="H62" s="1">
        <f>SUM(OSRRefH22_8x_0)</f>
        <v>85.43</v>
      </c>
      <c r="I62" s="1"/>
      <c r="J62" s="5">
        <f t="shared" si="44"/>
        <v>1.9629649203026594E-3</v>
      </c>
      <c r="K62" s="1"/>
      <c r="L62" s="1">
        <f t="shared" si="45"/>
        <v>-85.43</v>
      </c>
      <c r="M62" s="1"/>
      <c r="N62" s="5">
        <f t="shared" si="46"/>
        <v>-1</v>
      </c>
      <c r="O62" s="14"/>
      <c r="P62" s="1">
        <f>SUM(OSRRefP22_8x_0)</f>
        <v>0</v>
      </c>
      <c r="Q62" s="1"/>
      <c r="R62" s="5">
        <f t="shared" si="47"/>
        <v>0</v>
      </c>
      <c r="S62" s="1"/>
      <c r="T62" s="1">
        <f>SUM(OSRRefT22_8x_0)</f>
        <v>90.02000000000001</v>
      </c>
      <c r="U62" s="1"/>
      <c r="V62" s="5">
        <f t="shared" si="48"/>
        <v>1.4884537359907684E-3</v>
      </c>
      <c r="W62" s="1"/>
      <c r="X62" s="1">
        <f t="shared" si="49"/>
        <v>-90.02000000000001</v>
      </c>
      <c r="Y62" s="1"/>
      <c r="Z62" s="5">
        <f t="shared" si="50"/>
        <v>-1</v>
      </c>
    </row>
    <row r="63" spans="1:26" s="24" customFormat="1" hidden="1" outlineLevel="2" x14ac:dyDescent="0.25">
      <c r="A63" s="29"/>
      <c r="B63" s="11" t="str">
        <f>CONCATENATE("          ", "6305", " - ", "FREIGHT OUT")</f>
        <v xml:space="preserve">          6305 - FREIGHT OUT</v>
      </c>
      <c r="C63" s="11"/>
      <c r="D63" s="6"/>
      <c r="E63" s="2"/>
      <c r="F63" s="7">
        <f t="shared" si="43"/>
        <v>0</v>
      </c>
      <c r="G63" s="2"/>
      <c r="H63" s="6">
        <v>85.43</v>
      </c>
      <c r="I63" s="2"/>
      <c r="J63" s="7">
        <f t="shared" si="44"/>
        <v>1.9629649203026594E-3</v>
      </c>
      <c r="K63" s="2"/>
      <c r="L63" s="6">
        <f t="shared" si="45"/>
        <v>-85.43</v>
      </c>
      <c r="M63" s="2"/>
      <c r="N63" s="7">
        <f t="shared" si="46"/>
        <v>-1</v>
      </c>
      <c r="O63" s="11"/>
      <c r="P63" s="6"/>
      <c r="Q63" s="2"/>
      <c r="R63" s="7">
        <f t="shared" si="47"/>
        <v>0</v>
      </c>
      <c r="S63" s="2"/>
      <c r="T63" s="6">
        <v>95.43</v>
      </c>
      <c r="U63" s="2"/>
      <c r="V63" s="7">
        <f t="shared" si="48"/>
        <v>1.5779064655143194E-3</v>
      </c>
      <c r="W63" s="2"/>
      <c r="X63" s="6">
        <f t="shared" si="49"/>
        <v>-95.43</v>
      </c>
      <c r="Y63" s="2"/>
      <c r="Z63" s="7">
        <f t="shared" si="50"/>
        <v>-1</v>
      </c>
    </row>
    <row r="64" spans="1:26" s="24" customFormat="1" hidden="1" outlineLevel="2" x14ac:dyDescent="0.25">
      <c r="A64" s="29"/>
      <c r="B64" s="11" t="str">
        <f>CONCATENATE("          ", "6307", " - ", "POSTAGE")</f>
        <v xml:space="preserve">          6307 - POSTAGE</v>
      </c>
      <c r="C64" s="11"/>
      <c r="D64" s="6"/>
      <c r="E64" s="2"/>
      <c r="F64" s="7">
        <f t="shared" si="43"/>
        <v>0</v>
      </c>
      <c r="G64" s="2"/>
      <c r="H64" s="6"/>
      <c r="I64" s="2"/>
      <c r="J64" s="7">
        <f t="shared" si="44"/>
        <v>0</v>
      </c>
      <c r="K64" s="2"/>
      <c r="L64" s="6">
        <f t="shared" si="45"/>
        <v>0</v>
      </c>
      <c r="M64" s="2"/>
      <c r="N64" s="7">
        <f t="shared" si="46"/>
        <v>0</v>
      </c>
      <c r="O64" s="11"/>
      <c r="P64" s="6"/>
      <c r="Q64" s="2"/>
      <c r="R64" s="7">
        <f t="shared" si="47"/>
        <v>0</v>
      </c>
      <c r="S64" s="2"/>
      <c r="T64" s="6">
        <v>-5.41</v>
      </c>
      <c r="U64" s="2"/>
      <c r="V64" s="7">
        <f t="shared" si="48"/>
        <v>-8.9452729523550954E-5</v>
      </c>
      <c r="W64" s="2"/>
      <c r="X64" s="6">
        <f t="shared" si="49"/>
        <v>5.41</v>
      </c>
      <c r="Y64" s="2"/>
      <c r="Z64" s="7">
        <f t="shared" si="50"/>
        <v>-1</v>
      </c>
    </row>
    <row r="65" spans="1:26" s="28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1768.05</v>
      </c>
      <c r="E65" s="1"/>
      <c r="F65" s="5">
        <f t="shared" ref="F65:F76" si="51">IF(D$12=0,0,D65/D$12)</f>
        <v>8.567374828039525E-3</v>
      </c>
      <c r="G65" s="1"/>
      <c r="H65" s="1">
        <f>SUM(OSRRefH22_9x_0)</f>
        <v>0</v>
      </c>
      <c r="I65" s="1"/>
      <c r="J65" s="5">
        <f t="shared" ref="J65:J76" si="52">IF(H$12=0,0,H65/H$12)</f>
        <v>0</v>
      </c>
      <c r="K65" s="1"/>
      <c r="L65" s="1">
        <f t="shared" ref="L65:L76" si="53">+D65-H65</f>
        <v>1768.05</v>
      </c>
      <c r="M65" s="1"/>
      <c r="N65" s="5">
        <f t="shared" ref="N65:N76" si="54">IF(H65=0,0,L65/H65)</f>
        <v>0</v>
      </c>
      <c r="O65" s="14"/>
      <c r="P65" s="1">
        <f>SUM(OSRRefP22_9x_0)</f>
        <v>15702.26</v>
      </c>
      <c r="Q65" s="1"/>
      <c r="R65" s="5">
        <f t="shared" ref="R65:R76" si="55">IF(P$12=0,0,P65/P$12)</f>
        <v>3.6407270742213296E-2</v>
      </c>
      <c r="S65" s="1"/>
      <c r="T65" s="1">
        <f>SUM(OSRRefT22_9x_0)</f>
        <v>5275.55</v>
      </c>
      <c r="U65" s="1"/>
      <c r="V65" s="5">
        <f t="shared" ref="V65:V76" si="56">IF(T$12=0,0,T65/T$12)</f>
        <v>8.7229639045835347E-2</v>
      </c>
      <c r="W65" s="1"/>
      <c r="X65" s="1">
        <f t="shared" ref="X65:X76" si="57">+P65-T65</f>
        <v>10426.709999999999</v>
      </c>
      <c r="Y65" s="1"/>
      <c r="Z65" s="5">
        <f t="shared" ref="Z65:Z76" si="58">IF(T65=0,0,X65/T65)</f>
        <v>1.9764214157765538</v>
      </c>
    </row>
    <row r="66" spans="1:26" s="24" customFormat="1" hidden="1" outlineLevel="2" x14ac:dyDescent="0.25">
      <c r="A66" s="29"/>
      <c r="B66" s="11" t="str">
        <f>CONCATENATE("          ", "6279", " - ", "GENERAL EXPENSE")</f>
        <v xml:space="preserve">          6279 - GENERAL EXPENSE</v>
      </c>
      <c r="C66" s="11"/>
      <c r="D66" s="6">
        <v>1768.05</v>
      </c>
      <c r="E66" s="2"/>
      <c r="F66" s="7">
        <f t="shared" si="51"/>
        <v>8.567374828039525E-3</v>
      </c>
      <c r="G66" s="2"/>
      <c r="H66" s="6">
        <v>0</v>
      </c>
      <c r="I66" s="2"/>
      <c r="J66" s="7">
        <f t="shared" si="52"/>
        <v>0</v>
      </c>
      <c r="K66" s="2"/>
      <c r="L66" s="6">
        <f t="shared" si="53"/>
        <v>1768.05</v>
      </c>
      <c r="M66" s="2"/>
      <c r="N66" s="7">
        <f t="shared" si="54"/>
        <v>0</v>
      </c>
      <c r="O66" s="11"/>
      <c r="P66" s="6">
        <v>15702.26</v>
      </c>
      <c r="Q66" s="2"/>
      <c r="R66" s="7">
        <f t="shared" si="55"/>
        <v>3.6407270742213296E-2</v>
      </c>
      <c r="S66" s="2"/>
      <c r="T66" s="6">
        <v>5275.55</v>
      </c>
      <c r="U66" s="2"/>
      <c r="V66" s="7">
        <f t="shared" si="56"/>
        <v>8.7229639045835347E-2</v>
      </c>
      <c r="W66" s="2"/>
      <c r="X66" s="6">
        <f t="shared" si="57"/>
        <v>10426.709999999999</v>
      </c>
      <c r="Y66" s="2"/>
      <c r="Z66" s="7">
        <f t="shared" si="58"/>
        <v>1.9764214157765538</v>
      </c>
    </row>
    <row r="67" spans="1:26" s="28" customFormat="1" outlineLevel="1" collapsed="1" x14ac:dyDescent="0.25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12970.22</v>
      </c>
      <c r="E67" s="1"/>
      <c r="F67" s="5">
        <f t="shared" si="51"/>
        <v>6.2849317803305799E-2</v>
      </c>
      <c r="G67" s="1"/>
      <c r="H67" s="1">
        <f>SUM(OSRRefH22_10x_0)</f>
        <v>10595.67</v>
      </c>
      <c r="I67" s="1"/>
      <c r="J67" s="5">
        <f t="shared" si="52"/>
        <v>0.24346164716262761</v>
      </c>
      <c r="K67" s="1"/>
      <c r="L67" s="1">
        <f t="shared" si="53"/>
        <v>2374.5499999999993</v>
      </c>
      <c r="M67" s="1"/>
      <c r="N67" s="5">
        <f t="shared" si="54"/>
        <v>0.22410569600600994</v>
      </c>
      <c r="O67" s="14"/>
      <c r="P67" s="1">
        <f>SUM(OSRRefP22_10x_0)</f>
        <v>31231.88</v>
      </c>
      <c r="Q67" s="1"/>
      <c r="R67" s="5">
        <f t="shared" si="55"/>
        <v>7.2414258262716108E-2</v>
      </c>
      <c r="S67" s="1"/>
      <c r="T67" s="1">
        <f>SUM(OSRRefT22_10x_0)</f>
        <v>24046.68</v>
      </c>
      <c r="U67" s="1"/>
      <c r="V67" s="5">
        <f t="shared" si="56"/>
        <v>0.39760465101282477</v>
      </c>
      <c r="W67" s="1"/>
      <c r="X67" s="1">
        <f t="shared" si="57"/>
        <v>7185.2000000000007</v>
      </c>
      <c r="Y67" s="1"/>
      <c r="Z67" s="5">
        <f t="shared" si="58"/>
        <v>0.29880216312605318</v>
      </c>
    </row>
    <row r="68" spans="1:26" s="24" customFormat="1" hidden="1" outlineLevel="2" x14ac:dyDescent="0.25">
      <c r="A68" s="29"/>
      <c r="B68" s="11" t="str">
        <f>CONCATENATE("          ", "6314", " - ", "LIABILITY INSURANCE")</f>
        <v xml:space="preserve">          6314 - LIABILITY INSURANCE</v>
      </c>
      <c r="C68" s="11"/>
      <c r="D68" s="6">
        <v>12970.22</v>
      </c>
      <c r="E68" s="2"/>
      <c r="F68" s="7">
        <f t="shared" si="51"/>
        <v>6.2849317803305799E-2</v>
      </c>
      <c r="G68" s="2"/>
      <c r="H68" s="6">
        <v>10595.67</v>
      </c>
      <c r="I68" s="2"/>
      <c r="J68" s="7">
        <f t="shared" si="52"/>
        <v>0.24346164716262761</v>
      </c>
      <c r="K68" s="2"/>
      <c r="L68" s="6">
        <f t="shared" si="53"/>
        <v>2374.5499999999993</v>
      </c>
      <c r="M68" s="2"/>
      <c r="N68" s="7">
        <f t="shared" si="54"/>
        <v>0.22410569600600994</v>
      </c>
      <c r="O68" s="11"/>
      <c r="P68" s="6">
        <v>31231.88</v>
      </c>
      <c r="Q68" s="2"/>
      <c r="R68" s="7">
        <f t="shared" si="55"/>
        <v>7.2414258262716108E-2</v>
      </c>
      <c r="S68" s="2"/>
      <c r="T68" s="6">
        <v>24046.68</v>
      </c>
      <c r="U68" s="2"/>
      <c r="V68" s="7">
        <f t="shared" si="56"/>
        <v>0.39760465101282477</v>
      </c>
      <c r="W68" s="2"/>
      <c r="X68" s="6">
        <f t="shared" si="57"/>
        <v>7185.2000000000007</v>
      </c>
      <c r="Y68" s="2"/>
      <c r="Z68" s="7">
        <f t="shared" si="58"/>
        <v>0.29880216312605318</v>
      </c>
    </row>
    <row r="69" spans="1:26" s="28" customFormat="1" outlineLevel="1" collapsed="1" x14ac:dyDescent="0.25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10368</v>
      </c>
      <c r="E69" s="1"/>
      <c r="F69" s="5">
        <f t="shared" si="51"/>
        <v>5.0239836100287774E-2</v>
      </c>
      <c r="G69" s="1"/>
      <c r="H69" s="1">
        <f>SUM(OSRRefH22_11x_0)</f>
        <v>10805</v>
      </c>
      <c r="I69" s="1"/>
      <c r="J69" s="5">
        <f t="shared" si="52"/>
        <v>0.24827152012021808</v>
      </c>
      <c r="K69" s="1"/>
      <c r="L69" s="1">
        <f t="shared" si="53"/>
        <v>-437</v>
      </c>
      <c r="M69" s="1"/>
      <c r="N69" s="5">
        <f t="shared" si="54"/>
        <v>-4.0444238778343362E-2</v>
      </c>
      <c r="O69" s="14"/>
      <c r="P69" s="1">
        <f>SUM(OSRRefP22_11x_0)</f>
        <v>43842</v>
      </c>
      <c r="Q69" s="1"/>
      <c r="R69" s="5">
        <f t="shared" si="55"/>
        <v>0.10165209109262713</v>
      </c>
      <c r="S69" s="1"/>
      <c r="T69" s="1">
        <f>SUM(OSRRefT22_11x_0)</f>
        <v>45467</v>
      </c>
      <c r="U69" s="1"/>
      <c r="V69" s="5">
        <f t="shared" si="56"/>
        <v>0.75178322610855652</v>
      </c>
      <c r="W69" s="1"/>
      <c r="X69" s="1">
        <f t="shared" si="57"/>
        <v>-1625</v>
      </c>
      <c r="Y69" s="1"/>
      <c r="Z69" s="5">
        <f t="shared" si="58"/>
        <v>-3.5740207183231794E-2</v>
      </c>
    </row>
    <row r="70" spans="1:26" s="24" customFormat="1" hidden="1" outlineLevel="2" x14ac:dyDescent="0.25">
      <c r="A70" s="29"/>
      <c r="B70" s="11" t="str">
        <f>CONCATENATE("          ", "6401", " - ", "INTEREST EXPENSE")</f>
        <v xml:space="preserve">          6401 - INTEREST EXPENSE</v>
      </c>
      <c r="C70" s="11"/>
      <c r="D70" s="6">
        <v>10368</v>
      </c>
      <c r="E70" s="2"/>
      <c r="F70" s="7">
        <f t="shared" si="51"/>
        <v>5.0239836100287774E-2</v>
      </c>
      <c r="G70" s="2"/>
      <c r="H70" s="6">
        <v>10805</v>
      </c>
      <c r="I70" s="2"/>
      <c r="J70" s="7">
        <f t="shared" si="52"/>
        <v>0.24827152012021808</v>
      </c>
      <c r="K70" s="2"/>
      <c r="L70" s="6">
        <f t="shared" si="53"/>
        <v>-437</v>
      </c>
      <c r="M70" s="2"/>
      <c r="N70" s="7">
        <f t="shared" si="54"/>
        <v>-4.0444238778343362E-2</v>
      </c>
      <c r="O70" s="11"/>
      <c r="P70" s="6">
        <v>43842</v>
      </c>
      <c r="Q70" s="2"/>
      <c r="R70" s="7">
        <f t="shared" si="55"/>
        <v>0.10165209109262713</v>
      </c>
      <c r="S70" s="2"/>
      <c r="T70" s="6">
        <v>45467</v>
      </c>
      <c r="U70" s="2"/>
      <c r="V70" s="7">
        <f t="shared" si="56"/>
        <v>0.75178322610855652</v>
      </c>
      <c r="W70" s="2"/>
      <c r="X70" s="6">
        <f t="shared" si="57"/>
        <v>-1625</v>
      </c>
      <c r="Y70" s="2"/>
      <c r="Z70" s="7">
        <f t="shared" si="58"/>
        <v>-3.5740207183231794E-2</v>
      </c>
    </row>
    <row r="71" spans="1:26" s="28" customFormat="1" outlineLevel="1" collapsed="1" x14ac:dyDescent="0.25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1850</v>
      </c>
      <c r="E71" s="1"/>
      <c r="F71" s="5">
        <f t="shared" si="51"/>
        <v>8.9644769276169354E-3</v>
      </c>
      <c r="G71" s="1"/>
      <c r="H71" s="1">
        <f>SUM(OSRRefH22_12x_0)</f>
        <v>0</v>
      </c>
      <c r="I71" s="1"/>
      <c r="J71" s="5">
        <f t="shared" si="52"/>
        <v>0</v>
      </c>
      <c r="K71" s="1"/>
      <c r="L71" s="1">
        <f t="shared" si="53"/>
        <v>1850</v>
      </c>
      <c r="M71" s="1"/>
      <c r="N71" s="5">
        <f t="shared" si="54"/>
        <v>0</v>
      </c>
      <c r="O71" s="14"/>
      <c r="P71" s="1">
        <f>SUM(OSRRefP22_12x_0)</f>
        <v>7400</v>
      </c>
      <c r="Q71" s="1"/>
      <c r="R71" s="5">
        <f t="shared" si="55"/>
        <v>1.7157645045514362E-2</v>
      </c>
      <c r="S71" s="1"/>
      <c r="T71" s="1">
        <f>SUM(OSRRefT22_12x_0)</f>
        <v>5550</v>
      </c>
      <c r="U71" s="1"/>
      <c r="V71" s="5">
        <f t="shared" si="56"/>
        <v>9.1767587588855407E-2</v>
      </c>
      <c r="W71" s="1"/>
      <c r="X71" s="1">
        <f t="shared" si="57"/>
        <v>1850</v>
      </c>
      <c r="Y71" s="1"/>
      <c r="Z71" s="5">
        <f t="shared" si="58"/>
        <v>0.33333333333333331</v>
      </c>
    </row>
    <row r="72" spans="1:26" s="24" customFormat="1" hidden="1" outlineLevel="2" x14ac:dyDescent="0.25">
      <c r="A72" s="29"/>
      <c r="B72" s="11" t="str">
        <f>CONCATENATE("          ", "6273", " - ", "RENT")</f>
        <v xml:space="preserve">          6273 - RENT</v>
      </c>
      <c r="C72" s="11"/>
      <c r="D72" s="6">
        <v>1850</v>
      </c>
      <c r="E72" s="2"/>
      <c r="F72" s="7">
        <f t="shared" si="51"/>
        <v>8.9644769276169354E-3</v>
      </c>
      <c r="G72" s="2"/>
      <c r="H72" s="6"/>
      <c r="I72" s="2"/>
      <c r="J72" s="7">
        <f t="shared" si="52"/>
        <v>0</v>
      </c>
      <c r="K72" s="2"/>
      <c r="L72" s="6">
        <f t="shared" si="53"/>
        <v>1850</v>
      </c>
      <c r="M72" s="2"/>
      <c r="N72" s="7">
        <f t="shared" si="54"/>
        <v>0</v>
      </c>
      <c r="O72" s="11"/>
      <c r="P72" s="6">
        <v>7400</v>
      </c>
      <c r="Q72" s="2"/>
      <c r="R72" s="7">
        <f t="shared" si="55"/>
        <v>1.7157645045514362E-2</v>
      </c>
      <c r="S72" s="2"/>
      <c r="T72" s="6">
        <v>5550</v>
      </c>
      <c r="U72" s="2"/>
      <c r="V72" s="7">
        <f t="shared" si="56"/>
        <v>9.1767587588855407E-2</v>
      </c>
      <c r="W72" s="2"/>
      <c r="X72" s="6">
        <f t="shared" si="57"/>
        <v>1850</v>
      </c>
      <c r="Y72" s="2"/>
      <c r="Z72" s="7">
        <f t="shared" si="58"/>
        <v>0.33333333333333331</v>
      </c>
    </row>
    <row r="73" spans="1:26" s="28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7846.24</v>
      </c>
      <c r="E73" s="1"/>
      <c r="F73" s="5">
        <f t="shared" si="51"/>
        <v>3.8020236458673029E-2</v>
      </c>
      <c r="G73" s="1"/>
      <c r="H73" s="1">
        <f>SUM(OSRRefH22_13x_0)</f>
        <v>4021.3999999999996</v>
      </c>
      <c r="I73" s="1"/>
      <c r="J73" s="5">
        <f t="shared" si="52"/>
        <v>9.2401581768759372E-2</v>
      </c>
      <c r="K73" s="1"/>
      <c r="L73" s="1">
        <f t="shared" si="53"/>
        <v>3824.84</v>
      </c>
      <c r="M73" s="1"/>
      <c r="N73" s="5">
        <f t="shared" si="54"/>
        <v>0.95112149997513318</v>
      </c>
      <c r="O73" s="14"/>
      <c r="P73" s="1">
        <f>SUM(OSRRefP22_13x_0)</f>
        <v>38876.29</v>
      </c>
      <c r="Q73" s="1"/>
      <c r="R73" s="5">
        <f t="shared" si="55"/>
        <v>9.0138592500875622E-2</v>
      </c>
      <c r="S73" s="1"/>
      <c r="T73" s="1">
        <f>SUM(OSRRefT22_13x_0)</f>
        <v>16115.86</v>
      </c>
      <c r="U73" s="1"/>
      <c r="V73" s="5">
        <f t="shared" si="56"/>
        <v>0.26647091785941107</v>
      </c>
      <c r="W73" s="1"/>
      <c r="X73" s="1">
        <f t="shared" si="57"/>
        <v>22760.43</v>
      </c>
      <c r="Y73" s="1"/>
      <c r="Z73" s="5">
        <f t="shared" si="58"/>
        <v>1.4123000572107227</v>
      </c>
    </row>
    <row r="74" spans="1:26" s="24" customFormat="1" hidden="1" outlineLevel="2" x14ac:dyDescent="0.25">
      <c r="A74" s="29"/>
      <c r="B74" s="11" t="str">
        <f>CONCATENATE("          ", "6371", " - ", "COMPUTER SOFTWARE MAINTENANCE")</f>
        <v xml:space="preserve">          6371 - COMPUTER SOFTWARE MAINTENANCE</v>
      </c>
      <c r="C74" s="11"/>
      <c r="D74" s="6">
        <v>159.68</v>
      </c>
      <c r="E74" s="2"/>
      <c r="F74" s="7">
        <f t="shared" si="51"/>
        <v>7.7375550043344446E-4</v>
      </c>
      <c r="G74" s="2"/>
      <c r="H74" s="6"/>
      <c r="I74" s="2"/>
      <c r="J74" s="7">
        <f t="shared" si="52"/>
        <v>0</v>
      </c>
      <c r="K74" s="2"/>
      <c r="L74" s="6">
        <f t="shared" si="53"/>
        <v>159.68</v>
      </c>
      <c r="M74" s="2"/>
      <c r="N74" s="7">
        <f t="shared" si="54"/>
        <v>0</v>
      </c>
      <c r="O74" s="11"/>
      <c r="P74" s="6">
        <v>5337.4</v>
      </c>
      <c r="Q74" s="2"/>
      <c r="R74" s="7">
        <f t="shared" si="55"/>
        <v>1.2375299279179507E-2</v>
      </c>
      <c r="S74" s="2"/>
      <c r="T74" s="6"/>
      <c r="U74" s="2"/>
      <c r="V74" s="7">
        <f t="shared" si="56"/>
        <v>0</v>
      </c>
      <c r="W74" s="2"/>
      <c r="X74" s="6">
        <f t="shared" si="57"/>
        <v>5337.4</v>
      </c>
      <c r="Y74" s="2"/>
      <c r="Z74" s="7">
        <f t="shared" si="58"/>
        <v>0</v>
      </c>
    </row>
    <row r="75" spans="1:26" s="24" customFormat="1" hidden="1" outlineLevel="2" x14ac:dyDescent="0.25">
      <c r="A75" s="29"/>
      <c r="B75" s="11" t="str">
        <f>CONCATENATE("          ", "6373", " - ", "MAINTENANCE CONTRACTS")</f>
        <v xml:space="preserve">          6373 - MAINTENANCE CONTRACTS</v>
      </c>
      <c r="C75" s="11"/>
      <c r="D75" s="6">
        <v>2854.56</v>
      </c>
      <c r="E75" s="2"/>
      <c r="F75" s="7">
        <f t="shared" si="51"/>
        <v>1.3832236355944973E-2</v>
      </c>
      <c r="G75" s="2"/>
      <c r="H75" s="6">
        <v>3179.47</v>
      </c>
      <c r="I75" s="2"/>
      <c r="J75" s="7">
        <f t="shared" si="52"/>
        <v>7.3056163820141587E-2</v>
      </c>
      <c r="K75" s="2"/>
      <c r="L75" s="6">
        <f t="shared" si="53"/>
        <v>-324.90999999999985</v>
      </c>
      <c r="M75" s="2"/>
      <c r="N75" s="7">
        <f t="shared" si="54"/>
        <v>-0.10218998763944931</v>
      </c>
      <c r="O75" s="11"/>
      <c r="P75" s="6">
        <v>4016.78</v>
      </c>
      <c r="Q75" s="2"/>
      <c r="R75" s="7">
        <f t="shared" si="55"/>
        <v>9.3133088467461066E-3</v>
      </c>
      <c r="S75" s="2"/>
      <c r="T75" s="6">
        <v>9532.33</v>
      </c>
      <c r="U75" s="2"/>
      <c r="V75" s="7">
        <f t="shared" si="56"/>
        <v>0.15761422129745478</v>
      </c>
      <c r="W75" s="2"/>
      <c r="X75" s="6">
        <f t="shared" si="57"/>
        <v>-5515.5499999999993</v>
      </c>
      <c r="Y75" s="2"/>
      <c r="Z75" s="7">
        <f t="shared" si="58"/>
        <v>-0.57861509200793504</v>
      </c>
    </row>
    <row r="76" spans="1:26" s="24" customFormat="1" hidden="1" outlineLevel="2" x14ac:dyDescent="0.25">
      <c r="A76" s="29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4832</v>
      </c>
      <c r="E76" s="2"/>
      <c r="F76" s="7">
        <f t="shared" si="51"/>
        <v>2.3414244602294611E-2</v>
      </c>
      <c r="G76" s="2"/>
      <c r="H76" s="6">
        <v>841.93</v>
      </c>
      <c r="I76" s="2"/>
      <c r="J76" s="7">
        <f t="shared" si="52"/>
        <v>1.9345417948617789E-2</v>
      </c>
      <c r="K76" s="2"/>
      <c r="L76" s="6">
        <f t="shared" si="53"/>
        <v>3990.07</v>
      </c>
      <c r="M76" s="2"/>
      <c r="N76" s="7">
        <f t="shared" si="54"/>
        <v>4.7391944698490382</v>
      </c>
      <c r="O76" s="11"/>
      <c r="P76" s="6">
        <v>29522.11</v>
      </c>
      <c r="Q76" s="2"/>
      <c r="R76" s="7">
        <f t="shared" si="55"/>
        <v>6.8449984374950007E-2</v>
      </c>
      <c r="S76" s="2"/>
      <c r="T76" s="6">
        <v>6583.53</v>
      </c>
      <c r="U76" s="2"/>
      <c r="V76" s="7">
        <f t="shared" si="56"/>
        <v>0.10885669656195626</v>
      </c>
      <c r="W76" s="2"/>
      <c r="X76" s="6">
        <f t="shared" si="57"/>
        <v>22938.58</v>
      </c>
      <c r="Y76" s="2"/>
      <c r="Z76" s="7">
        <f t="shared" si="58"/>
        <v>3.4842371797500737</v>
      </c>
    </row>
    <row r="77" spans="1:26" s="28" customFormat="1" outlineLevel="1" collapsed="1" x14ac:dyDescent="0.25">
      <c r="A77" s="27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1">
        <f>SUM(OSRRefD22_14x_0)</f>
        <v>1066.22</v>
      </c>
      <c r="E77" s="1"/>
      <c r="F77" s="5">
        <f t="shared" ref="F77:F83" si="59">IF(D$12=0,0,D77/D$12)</f>
        <v>5.1665430214939074E-3</v>
      </c>
      <c r="G77" s="1"/>
      <c r="H77" s="1">
        <f>SUM(OSRRefH22_14x_0)</f>
        <v>185.7</v>
      </c>
      <c r="I77" s="1"/>
      <c r="J77" s="5">
        <f t="shared" ref="J77:J83" si="60">IF(H$12=0,0,H77/H$12)</f>
        <v>4.2669154360318829E-3</v>
      </c>
      <c r="K77" s="1"/>
      <c r="L77" s="1">
        <f t="shared" ref="L77:L83" si="61">+D77-H77</f>
        <v>880.52</v>
      </c>
      <c r="M77" s="1"/>
      <c r="N77" s="5">
        <f t="shared" ref="N77:N83" si="62">IF(H77=0,0,L77/H77)</f>
        <v>4.7416262789445343</v>
      </c>
      <c r="O77" s="14"/>
      <c r="P77" s="1">
        <f>SUM(OSRRefP22_14x_0)</f>
        <v>1066.22</v>
      </c>
      <c r="Q77" s="1"/>
      <c r="R77" s="5">
        <f t="shared" ref="R77:R83" si="63">IF(P$12=0,0,P77/P$12)</f>
        <v>2.4721384189768008E-3</v>
      </c>
      <c r="S77" s="1"/>
      <c r="T77" s="1">
        <f>SUM(OSRRefT22_14x_0)</f>
        <v>185.7</v>
      </c>
      <c r="U77" s="1"/>
      <c r="V77" s="5">
        <f t="shared" ref="V77:V83" si="64">IF(T$12=0,0,T77/T$12)</f>
        <v>3.0704938766217024E-3</v>
      </c>
      <c r="W77" s="1"/>
      <c r="X77" s="1">
        <f t="shared" ref="X77:X83" si="65">+P77-T77</f>
        <v>880.52</v>
      </c>
      <c r="Y77" s="1"/>
      <c r="Z77" s="5">
        <f t="shared" ref="Z77:Z83" si="66">IF(T77=0,0,X77/T77)</f>
        <v>4.7416262789445343</v>
      </c>
    </row>
    <row r="78" spans="1:26" s="24" customFormat="1" hidden="1" outlineLevel="2" x14ac:dyDescent="0.25">
      <c r="A78" s="29"/>
      <c r="B78" s="11" t="str">
        <f>CONCATENATE("          ", "6254", " - ", "ROYALTY &amp; COMMISSIONS")</f>
        <v xml:space="preserve">          6254 - ROYALTY &amp; COMMISSIONS</v>
      </c>
      <c r="C78" s="11"/>
      <c r="D78" s="6">
        <v>1066.22</v>
      </c>
      <c r="E78" s="2"/>
      <c r="F78" s="7">
        <f t="shared" si="59"/>
        <v>5.1665430214939074E-3</v>
      </c>
      <c r="G78" s="2"/>
      <c r="H78" s="6">
        <v>185.7</v>
      </c>
      <c r="I78" s="2"/>
      <c r="J78" s="7">
        <f t="shared" si="60"/>
        <v>4.2669154360318829E-3</v>
      </c>
      <c r="K78" s="2"/>
      <c r="L78" s="6">
        <f t="shared" si="61"/>
        <v>880.52</v>
      </c>
      <c r="M78" s="2"/>
      <c r="N78" s="7">
        <f t="shared" si="62"/>
        <v>4.7416262789445343</v>
      </c>
      <c r="O78" s="11"/>
      <c r="P78" s="6">
        <v>1066.22</v>
      </c>
      <c r="Q78" s="2"/>
      <c r="R78" s="7">
        <f t="shared" si="63"/>
        <v>2.4721384189768008E-3</v>
      </c>
      <c r="S78" s="2"/>
      <c r="T78" s="6">
        <v>185.7</v>
      </c>
      <c r="U78" s="2"/>
      <c r="V78" s="7">
        <f t="shared" si="64"/>
        <v>3.0704938766217024E-3</v>
      </c>
      <c r="W78" s="2"/>
      <c r="X78" s="6">
        <f t="shared" si="65"/>
        <v>880.52</v>
      </c>
      <c r="Y78" s="2"/>
      <c r="Z78" s="7">
        <f t="shared" si="66"/>
        <v>4.7416262789445343</v>
      </c>
    </row>
    <row r="79" spans="1:26" s="28" customFormat="1" outlineLevel="1" collapsed="1" x14ac:dyDescent="0.25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6609.9</v>
      </c>
      <c r="E79" s="1"/>
      <c r="F79" s="5">
        <f t="shared" si="59"/>
        <v>3.2029349212894694E-2</v>
      </c>
      <c r="G79" s="1"/>
      <c r="H79" s="1">
        <f>SUM(OSRRefH22_15x_0)</f>
        <v>7010.73</v>
      </c>
      <c r="I79" s="1"/>
      <c r="J79" s="5">
        <f t="shared" si="60"/>
        <v>0.16108881020383309</v>
      </c>
      <c r="K79" s="1"/>
      <c r="L79" s="1">
        <f t="shared" si="61"/>
        <v>-400.82999999999993</v>
      </c>
      <c r="M79" s="1"/>
      <c r="N79" s="5">
        <f t="shared" si="62"/>
        <v>-5.7173789320085065E-2</v>
      </c>
      <c r="O79" s="14"/>
      <c r="P79" s="1">
        <f>SUM(OSRRefP22_15x_0)</f>
        <v>43960.32</v>
      </c>
      <c r="Q79" s="1"/>
      <c r="R79" s="5">
        <f t="shared" si="63"/>
        <v>0.10192642792530081</v>
      </c>
      <c r="S79" s="1"/>
      <c r="T79" s="1">
        <f>SUM(OSRRefT22_15x_0)</f>
        <v>16006.029999999999</v>
      </c>
      <c r="U79" s="1"/>
      <c r="V79" s="5">
        <f t="shared" si="64"/>
        <v>0.2646549117071797</v>
      </c>
      <c r="W79" s="1"/>
      <c r="X79" s="1">
        <f t="shared" si="65"/>
        <v>27954.29</v>
      </c>
      <c r="Y79" s="1"/>
      <c r="Z79" s="5">
        <f t="shared" si="66"/>
        <v>1.7464849184963418</v>
      </c>
    </row>
    <row r="80" spans="1:26" s="24" customFormat="1" hidden="1" outlineLevel="2" x14ac:dyDescent="0.25">
      <c r="A80" s="29"/>
      <c r="B80" s="11" t="str">
        <f>CONCATENATE("          ", "6282", " - ", "JANITORIAL/EXTERMINATOR EXPENS")</f>
        <v xml:space="preserve">          6282 - JANITORIAL/EXTERMINATOR EXPENS</v>
      </c>
      <c r="C80" s="11"/>
      <c r="D80" s="6">
        <v>1925.71</v>
      </c>
      <c r="E80" s="2"/>
      <c r="F80" s="7">
        <f t="shared" si="59"/>
        <v>9.3313420888006537E-3</v>
      </c>
      <c r="G80" s="2"/>
      <c r="H80" s="6">
        <v>1529.78</v>
      </c>
      <c r="I80" s="2"/>
      <c r="J80" s="7">
        <f t="shared" si="60"/>
        <v>3.5150467936095067E-2</v>
      </c>
      <c r="K80" s="2"/>
      <c r="L80" s="6">
        <f t="shared" si="61"/>
        <v>395.93000000000006</v>
      </c>
      <c r="M80" s="2"/>
      <c r="N80" s="7">
        <f t="shared" si="62"/>
        <v>0.25881499300553024</v>
      </c>
      <c r="O80" s="11"/>
      <c r="P80" s="6">
        <v>5431.46</v>
      </c>
      <c r="Q80" s="2"/>
      <c r="R80" s="7">
        <f t="shared" si="63"/>
        <v>1.2593386859312087E-2</v>
      </c>
      <c r="S80" s="2"/>
      <c r="T80" s="6">
        <v>1582.49</v>
      </c>
      <c r="U80" s="2"/>
      <c r="V80" s="7">
        <f t="shared" si="64"/>
        <v>2.6165998141168972E-2</v>
      </c>
      <c r="W80" s="2"/>
      <c r="X80" s="6">
        <f t="shared" si="65"/>
        <v>3848.9700000000003</v>
      </c>
      <c r="Y80" s="2"/>
      <c r="Z80" s="7">
        <f t="shared" si="66"/>
        <v>2.4322239003090069</v>
      </c>
    </row>
    <row r="81" spans="1:26" s="24" customFormat="1" hidden="1" outlineLevel="2" x14ac:dyDescent="0.25">
      <c r="A81" s="29"/>
      <c r="B81" s="11" t="str">
        <f>CONCATENATE("          ", "6284", " - ", "TRASH REMOVAL EXPENSE")</f>
        <v xml:space="preserve">          6284 - TRASH REMOVAL EXPENSE</v>
      </c>
      <c r="C81" s="11"/>
      <c r="D81" s="6"/>
      <c r="E81" s="2"/>
      <c r="F81" s="7">
        <f t="shared" si="59"/>
        <v>0</v>
      </c>
      <c r="G81" s="2"/>
      <c r="H81" s="6">
        <v>5369</v>
      </c>
      <c r="I81" s="2"/>
      <c r="J81" s="7">
        <f t="shared" si="60"/>
        <v>0.12336601494913937</v>
      </c>
      <c r="K81" s="2"/>
      <c r="L81" s="6">
        <f t="shared" si="61"/>
        <v>-5369</v>
      </c>
      <c r="M81" s="2"/>
      <c r="N81" s="7">
        <f t="shared" si="62"/>
        <v>-1</v>
      </c>
      <c r="O81" s="11"/>
      <c r="P81" s="6"/>
      <c r="Q81" s="2"/>
      <c r="R81" s="7">
        <f t="shared" si="63"/>
        <v>0</v>
      </c>
      <c r="S81" s="2"/>
      <c r="T81" s="6">
        <v>8130</v>
      </c>
      <c r="U81" s="2"/>
      <c r="V81" s="7">
        <f t="shared" si="64"/>
        <v>0.13442711479232333</v>
      </c>
      <c r="W81" s="2"/>
      <c r="X81" s="6">
        <f t="shared" si="65"/>
        <v>-8130</v>
      </c>
      <c r="Y81" s="2"/>
      <c r="Z81" s="7">
        <f t="shared" si="66"/>
        <v>-1</v>
      </c>
    </row>
    <row r="82" spans="1:26" s="24" customFormat="1" hidden="1" outlineLevel="2" x14ac:dyDescent="0.25">
      <c r="A82" s="29"/>
      <c r="B82" s="11" t="str">
        <f>CONCATENATE("          ", "6285", " - ", "JANITORIAL SERVICES")</f>
        <v xml:space="preserve">          6285 - JANITORIAL SERVICES</v>
      </c>
      <c r="C82" s="11"/>
      <c r="D82" s="6">
        <v>3804.38</v>
      </c>
      <c r="E82" s="2"/>
      <c r="F82" s="7">
        <f t="shared" si="59"/>
        <v>1.8434744180479631E-2</v>
      </c>
      <c r="G82" s="2"/>
      <c r="H82" s="6"/>
      <c r="I82" s="2"/>
      <c r="J82" s="7">
        <f t="shared" si="60"/>
        <v>0</v>
      </c>
      <c r="K82" s="2"/>
      <c r="L82" s="6">
        <f t="shared" si="61"/>
        <v>3804.38</v>
      </c>
      <c r="M82" s="2"/>
      <c r="N82" s="7">
        <f t="shared" si="62"/>
        <v>0</v>
      </c>
      <c r="O82" s="11"/>
      <c r="P82" s="6">
        <v>37017.919999999998</v>
      </c>
      <c r="Q82" s="2"/>
      <c r="R82" s="7">
        <f t="shared" si="63"/>
        <v>8.5829774551790139E-2</v>
      </c>
      <c r="S82" s="2"/>
      <c r="T82" s="6">
        <v>5607.33</v>
      </c>
      <c r="U82" s="2"/>
      <c r="V82" s="7">
        <f t="shared" si="64"/>
        <v>9.2715521966597589E-2</v>
      </c>
      <c r="W82" s="2"/>
      <c r="X82" s="6">
        <f t="shared" si="65"/>
        <v>31410.589999999997</v>
      </c>
      <c r="Y82" s="2"/>
      <c r="Z82" s="7">
        <f t="shared" si="66"/>
        <v>5.6017017011661512</v>
      </c>
    </row>
    <row r="83" spans="1:26" s="24" customFormat="1" hidden="1" outlineLevel="2" x14ac:dyDescent="0.25">
      <c r="A83" s="29"/>
      <c r="B83" s="11" t="str">
        <f>CONCATENATE("          ", "6286", " - ", "LAUNDRY EXPENSE")</f>
        <v xml:space="preserve">          6286 - LAUNDRY EXPENSE</v>
      </c>
      <c r="C83" s="11"/>
      <c r="D83" s="6">
        <v>879.81</v>
      </c>
      <c r="E83" s="2"/>
      <c r="F83" s="7">
        <f t="shared" si="59"/>
        <v>4.2632629436144083E-3</v>
      </c>
      <c r="G83" s="2"/>
      <c r="H83" s="6">
        <v>111.95</v>
      </c>
      <c r="I83" s="2"/>
      <c r="J83" s="7">
        <f t="shared" si="60"/>
        <v>2.5723273185986502E-3</v>
      </c>
      <c r="K83" s="2"/>
      <c r="L83" s="6">
        <f t="shared" si="61"/>
        <v>767.8599999999999</v>
      </c>
      <c r="M83" s="2"/>
      <c r="N83" s="7">
        <f t="shared" si="62"/>
        <v>6.8589548905761486</v>
      </c>
      <c r="O83" s="11"/>
      <c r="P83" s="6">
        <v>1510.94</v>
      </c>
      <c r="Q83" s="2"/>
      <c r="R83" s="7">
        <f t="shared" si="63"/>
        <v>3.5032665141985775E-3</v>
      </c>
      <c r="S83" s="2"/>
      <c r="T83" s="6">
        <v>686.21</v>
      </c>
      <c r="U83" s="2"/>
      <c r="V83" s="7">
        <f t="shared" si="64"/>
        <v>1.1346276807089816E-2</v>
      </c>
      <c r="W83" s="2"/>
      <c r="X83" s="6">
        <f t="shared" si="65"/>
        <v>824.73</v>
      </c>
      <c r="Y83" s="2"/>
      <c r="Z83" s="7">
        <f t="shared" si="66"/>
        <v>1.2018624036373704</v>
      </c>
    </row>
    <row r="84" spans="1:26" s="28" customFormat="1" outlineLevel="1" collapsed="1" x14ac:dyDescent="0.25">
      <c r="A84" s="27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SUM(OSRRefD22_16x_0)</f>
        <v>813.81</v>
      </c>
      <c r="E84" s="1"/>
      <c r="F84" s="5">
        <f t="shared" ref="F84:F94" si="67">IF(D$12=0,0,D84/D$12)</f>
        <v>3.943449172142669E-3</v>
      </c>
      <c r="G84" s="1"/>
      <c r="H84" s="1">
        <f>SUM(OSRRefH22_16x_0)</f>
        <v>130.66999999999999</v>
      </c>
      <c r="I84" s="1"/>
      <c r="J84" s="5">
        <f t="shared" ref="J84:J94" si="68">IF(H$12=0,0,H84/H$12)</f>
        <v>3.0024654821017025E-3</v>
      </c>
      <c r="K84" s="1"/>
      <c r="L84" s="1">
        <f t="shared" ref="L84:L94" si="69">+D84-H84</f>
        <v>683.14</v>
      </c>
      <c r="M84" s="1"/>
      <c r="N84" s="5">
        <f t="shared" ref="N84:N94" si="70">IF(H84=0,0,L84/H84)</f>
        <v>5.2279788780898446</v>
      </c>
      <c r="O84" s="14"/>
      <c r="P84" s="1">
        <f>SUM(OSRRefP22_16x_0)</f>
        <v>1947</v>
      </c>
      <c r="Q84" s="1"/>
      <c r="R84" s="5">
        <f t="shared" ref="R84:R94" si="71">IF(P$12=0,0,P84/P$12)</f>
        <v>4.5143155275157382E-3</v>
      </c>
      <c r="S84" s="1"/>
      <c r="T84" s="1">
        <f>SUM(OSRRefT22_16x_0)</f>
        <v>271.33</v>
      </c>
      <c r="U84" s="1"/>
      <c r="V84" s="5">
        <f t="shared" ref="V84:V94" si="72">IF(T$12=0,0,T84/T$12)</f>
        <v>4.4863602775647091E-3</v>
      </c>
      <c r="W84" s="1"/>
      <c r="X84" s="1">
        <f t="shared" ref="X84:X94" si="73">+P84-T84</f>
        <v>1675.67</v>
      </c>
      <c r="Y84" s="1"/>
      <c r="Z84" s="5">
        <f t="shared" ref="Z84:Z94" si="74">IF(T84=0,0,X84/T84)</f>
        <v>6.1757638300224826</v>
      </c>
    </row>
    <row r="85" spans="1:26" s="24" customFormat="1" hidden="1" outlineLevel="2" x14ac:dyDescent="0.25">
      <c r="A85" s="29"/>
      <c r="B85" s="11" t="str">
        <f>CONCATENATE("          ", "6275", " - ", "SUBSCRIPTIONS")</f>
        <v xml:space="preserve">          6275 - SUBSCRIPTIONS</v>
      </c>
      <c r="C85" s="11"/>
      <c r="D85" s="6">
        <v>813.81</v>
      </c>
      <c r="E85" s="2"/>
      <c r="F85" s="7">
        <f t="shared" si="67"/>
        <v>3.943449172142669E-3</v>
      </c>
      <c r="G85" s="2"/>
      <c r="H85" s="6">
        <v>130.66999999999999</v>
      </c>
      <c r="I85" s="2"/>
      <c r="J85" s="7">
        <f t="shared" si="68"/>
        <v>3.0024654821017025E-3</v>
      </c>
      <c r="K85" s="2"/>
      <c r="L85" s="6">
        <f t="shared" si="69"/>
        <v>683.14</v>
      </c>
      <c r="M85" s="2"/>
      <c r="N85" s="7">
        <f t="shared" si="70"/>
        <v>5.2279788780898446</v>
      </c>
      <c r="O85" s="11"/>
      <c r="P85" s="6">
        <v>1947</v>
      </c>
      <c r="Q85" s="2"/>
      <c r="R85" s="7">
        <f t="shared" si="71"/>
        <v>4.5143155275157382E-3</v>
      </c>
      <c r="S85" s="2"/>
      <c r="T85" s="6">
        <v>271.33</v>
      </c>
      <c r="U85" s="2"/>
      <c r="V85" s="7">
        <f t="shared" si="72"/>
        <v>4.4863602775647091E-3</v>
      </c>
      <c r="W85" s="2"/>
      <c r="X85" s="6">
        <f t="shared" si="73"/>
        <v>1675.67</v>
      </c>
      <c r="Y85" s="2"/>
      <c r="Z85" s="7">
        <f t="shared" si="74"/>
        <v>6.1757638300224826</v>
      </c>
    </row>
    <row r="86" spans="1:26" s="28" customFormat="1" outlineLevel="1" collapsed="1" x14ac:dyDescent="0.25">
      <c r="A86" s="27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SUM(OSRRefD22_17x_0)</f>
        <v>9149.19</v>
      </c>
      <c r="E86" s="1"/>
      <c r="F86" s="5">
        <f t="shared" si="67"/>
        <v>4.4333893330477617E-2</v>
      </c>
      <c r="G86" s="1"/>
      <c r="H86" s="1">
        <f>SUM(OSRRefH22_17x_0)</f>
        <v>6433.76</v>
      </c>
      <c r="I86" s="1"/>
      <c r="J86" s="5">
        <f t="shared" si="68"/>
        <v>0.14783150164633543</v>
      </c>
      <c r="K86" s="1"/>
      <c r="L86" s="1">
        <f t="shared" si="69"/>
        <v>2715.4300000000003</v>
      </c>
      <c r="M86" s="1"/>
      <c r="N86" s="5">
        <f t="shared" si="70"/>
        <v>0.42205957325110049</v>
      </c>
      <c r="O86" s="14"/>
      <c r="P86" s="1">
        <f>SUM(OSRRefP22_17x_0)</f>
        <v>18091.14</v>
      </c>
      <c r="Q86" s="1"/>
      <c r="R86" s="5">
        <f t="shared" si="71"/>
        <v>4.1946129539014422E-2</v>
      </c>
      <c r="S86" s="1"/>
      <c r="T86" s="1">
        <f>SUM(OSRRefT22_17x_0)</f>
        <v>-20548.59</v>
      </c>
      <c r="U86" s="1"/>
      <c r="V86" s="5">
        <f t="shared" si="72"/>
        <v>-0.33976478065810423</v>
      </c>
      <c r="W86" s="1"/>
      <c r="X86" s="1">
        <f t="shared" si="73"/>
        <v>38639.729999999996</v>
      </c>
      <c r="Y86" s="1"/>
      <c r="Z86" s="5">
        <f t="shared" si="74"/>
        <v>-1.8804078528015788</v>
      </c>
    </row>
    <row r="87" spans="1:26" s="24" customFormat="1" hidden="1" outlineLevel="2" x14ac:dyDescent="0.25">
      <c r="A87" s="29"/>
      <c r="B87" s="11" t="str">
        <f>CONCATENATE("          ", "6234", " - ", "EXPENDABLE SUPPLIES &amp; EQUIPMEN")</f>
        <v xml:space="preserve">          6234 - EXPENDABLE SUPPLIES &amp; EQUIPMEN</v>
      </c>
      <c r="C87" s="11"/>
      <c r="D87" s="6">
        <v>1194.8900000000001</v>
      </c>
      <c r="E87" s="2"/>
      <c r="F87" s="7">
        <f t="shared" si="67"/>
        <v>5.7900345059676761E-3</v>
      </c>
      <c r="G87" s="2"/>
      <c r="H87" s="6">
        <v>55.13</v>
      </c>
      <c r="I87" s="2"/>
      <c r="J87" s="7">
        <f t="shared" si="68"/>
        <v>1.2667477005300902E-3</v>
      </c>
      <c r="K87" s="2"/>
      <c r="L87" s="6">
        <f t="shared" si="69"/>
        <v>1139.76</v>
      </c>
      <c r="M87" s="2"/>
      <c r="N87" s="7">
        <f t="shared" si="70"/>
        <v>20.674043170687465</v>
      </c>
      <c r="O87" s="11"/>
      <c r="P87" s="6">
        <v>1194.8900000000001</v>
      </c>
      <c r="Q87" s="2"/>
      <c r="R87" s="7">
        <f t="shared" si="71"/>
        <v>2.7704727687073863E-3</v>
      </c>
      <c r="S87" s="2"/>
      <c r="T87" s="6">
        <v>627.58000000000004</v>
      </c>
      <c r="U87" s="2"/>
      <c r="V87" s="7">
        <f t="shared" si="72"/>
        <v>1.037684731874124E-2</v>
      </c>
      <c r="W87" s="2"/>
      <c r="X87" s="6">
        <f t="shared" si="73"/>
        <v>567.31000000000006</v>
      </c>
      <c r="Y87" s="2"/>
      <c r="Z87" s="7">
        <f t="shared" si="74"/>
        <v>0.90396443481309163</v>
      </c>
    </row>
    <row r="88" spans="1:26" s="24" customFormat="1" hidden="1" outlineLevel="2" x14ac:dyDescent="0.25">
      <c r="A88" s="29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67"/>
        <v>0</v>
      </c>
      <c r="G88" s="2"/>
      <c r="H88" s="6">
        <v>5932</v>
      </c>
      <c r="I88" s="2"/>
      <c r="J88" s="7">
        <f t="shared" si="68"/>
        <v>0.13630232830662969</v>
      </c>
      <c r="K88" s="2"/>
      <c r="L88" s="6">
        <f t="shared" si="69"/>
        <v>-5932</v>
      </c>
      <c r="M88" s="2"/>
      <c r="N88" s="7">
        <f t="shared" si="70"/>
        <v>-1</v>
      </c>
      <c r="O88" s="11"/>
      <c r="P88" s="6">
        <v>193.5</v>
      </c>
      <c r="Q88" s="2"/>
      <c r="R88" s="7">
        <f t="shared" si="71"/>
        <v>4.4864923193338235E-4</v>
      </c>
      <c r="S88" s="2"/>
      <c r="T88" s="6">
        <v>7089.13</v>
      </c>
      <c r="U88" s="2"/>
      <c r="V88" s="7">
        <f t="shared" si="72"/>
        <v>0.11721664111779866</v>
      </c>
      <c r="W88" s="2"/>
      <c r="X88" s="6">
        <f t="shared" si="73"/>
        <v>-6895.63</v>
      </c>
      <c r="Y88" s="2"/>
      <c r="Z88" s="7">
        <f t="shared" si="74"/>
        <v>-0.97270469013828209</v>
      </c>
    </row>
    <row r="89" spans="1:26" s="24" customFormat="1" hidden="1" outlineLevel="2" x14ac:dyDescent="0.25">
      <c r="A89" s="29"/>
      <c r="B89" s="11" t="str">
        <f>CONCATENATE("          ", "6237", " - ", "JANITORIAL SUPPLIES")</f>
        <v xml:space="preserve">          6237 - JANITORIAL SUPPLIES</v>
      </c>
      <c r="C89" s="11"/>
      <c r="D89" s="6">
        <v>804.12</v>
      </c>
      <c r="E89" s="2"/>
      <c r="F89" s="7">
        <f t="shared" si="67"/>
        <v>3.896494695694773E-3</v>
      </c>
      <c r="G89" s="2"/>
      <c r="H89" s="6">
        <v>268.05</v>
      </c>
      <c r="I89" s="2"/>
      <c r="J89" s="7">
        <f t="shared" si="68"/>
        <v>6.1591097610573312E-3</v>
      </c>
      <c r="K89" s="2"/>
      <c r="L89" s="6">
        <f t="shared" si="69"/>
        <v>536.06999999999994</v>
      </c>
      <c r="M89" s="2"/>
      <c r="N89" s="7">
        <f t="shared" si="70"/>
        <v>1.9998880805819808</v>
      </c>
      <c r="O89" s="11"/>
      <c r="P89" s="6">
        <v>4976.03</v>
      </c>
      <c r="Q89" s="2"/>
      <c r="R89" s="7">
        <f t="shared" si="71"/>
        <v>1.153742655078795E-2</v>
      </c>
      <c r="S89" s="2"/>
      <c r="T89" s="6">
        <v>585.62</v>
      </c>
      <c r="U89" s="2"/>
      <c r="V89" s="7">
        <f t="shared" si="72"/>
        <v>9.6830512871685596E-3</v>
      </c>
      <c r="W89" s="2"/>
      <c r="X89" s="6">
        <f t="shared" si="73"/>
        <v>4390.41</v>
      </c>
      <c r="Y89" s="2"/>
      <c r="Z89" s="7">
        <f t="shared" si="74"/>
        <v>7.4970287900003409</v>
      </c>
    </row>
    <row r="90" spans="1:26" s="24" customFormat="1" hidden="1" outlineLevel="2" x14ac:dyDescent="0.25">
      <c r="A90" s="29"/>
      <c r="B90" s="11" t="str">
        <f>CONCATENATE("          ", "6239", " - ", "KITCHEN SUPPLIES")</f>
        <v xml:space="preserve">          6239 - KITCHEN SUPPLIES</v>
      </c>
      <c r="C90" s="11"/>
      <c r="D90" s="6">
        <v>920.86</v>
      </c>
      <c r="E90" s="2"/>
      <c r="F90" s="7">
        <f t="shared" si="67"/>
        <v>4.4621774181434221E-3</v>
      </c>
      <c r="G90" s="2"/>
      <c r="H90" s="6">
        <v>19.829999999999998</v>
      </c>
      <c r="I90" s="2"/>
      <c r="J90" s="7">
        <f t="shared" si="68"/>
        <v>4.5564315076204758E-4</v>
      </c>
      <c r="K90" s="2"/>
      <c r="L90" s="6">
        <f t="shared" si="69"/>
        <v>901.03</v>
      </c>
      <c r="M90" s="2"/>
      <c r="N90" s="7">
        <f t="shared" si="70"/>
        <v>45.43772062531518</v>
      </c>
      <c r="O90" s="11"/>
      <c r="P90" s="6">
        <v>1992.05</v>
      </c>
      <c r="Q90" s="2"/>
      <c r="R90" s="7">
        <f t="shared" si="71"/>
        <v>4.6187684882320118E-3</v>
      </c>
      <c r="S90" s="2"/>
      <c r="T90" s="6">
        <v>19.829999999999998</v>
      </c>
      <c r="U90" s="2"/>
      <c r="V90" s="7">
        <f t="shared" si="72"/>
        <v>3.2788311024991039E-4</v>
      </c>
      <c r="W90" s="2"/>
      <c r="X90" s="6">
        <f t="shared" si="73"/>
        <v>1972.22</v>
      </c>
      <c r="Y90" s="2"/>
      <c r="Z90" s="7">
        <f t="shared" si="74"/>
        <v>99.456379223398898</v>
      </c>
    </row>
    <row r="91" spans="1:26" s="24" customFormat="1" hidden="1" outlineLevel="2" x14ac:dyDescent="0.25">
      <c r="A91" s="29"/>
      <c r="B91" s="11" t="str">
        <f>CONCATENATE("          ", "6241", " - ", "OFFICE EXPENSE")</f>
        <v xml:space="preserve">          6241 - OFFICE EXPENSE</v>
      </c>
      <c r="C91" s="11"/>
      <c r="D91" s="6">
        <v>4156.76</v>
      </c>
      <c r="E91" s="2"/>
      <c r="F91" s="7">
        <f t="shared" si="67"/>
        <v>2.0142258980346474E-2</v>
      </c>
      <c r="G91" s="2"/>
      <c r="H91" s="6">
        <v>117.75</v>
      </c>
      <c r="I91" s="2"/>
      <c r="J91" s="7">
        <f t="shared" si="68"/>
        <v>2.7055966213933992E-3</v>
      </c>
      <c r="K91" s="2"/>
      <c r="L91" s="6">
        <f t="shared" si="69"/>
        <v>4039.01</v>
      </c>
      <c r="M91" s="2"/>
      <c r="N91" s="7">
        <f t="shared" si="70"/>
        <v>34.301571125265397</v>
      </c>
      <c r="O91" s="11"/>
      <c r="P91" s="6">
        <v>6353.36</v>
      </c>
      <c r="Q91" s="2"/>
      <c r="R91" s="7">
        <f t="shared" si="71"/>
        <v>1.473090482788772E-2</v>
      </c>
      <c r="S91" s="2"/>
      <c r="T91" s="6">
        <v>-28992.03</v>
      </c>
      <c r="U91" s="2"/>
      <c r="V91" s="7">
        <f t="shared" si="72"/>
        <v>-0.47937453196463486</v>
      </c>
      <c r="W91" s="2"/>
      <c r="X91" s="6">
        <f t="shared" si="73"/>
        <v>35345.39</v>
      </c>
      <c r="Y91" s="2"/>
      <c r="Z91" s="7">
        <f t="shared" si="74"/>
        <v>-1.2191416054688133</v>
      </c>
    </row>
    <row r="92" spans="1:26" s="24" customFormat="1" hidden="1" outlineLevel="2" x14ac:dyDescent="0.25">
      <c r="A92" s="29"/>
      <c r="B92" s="11" t="str">
        <f>CONCATENATE("          ", "6243", " - ", "PAPER SUPPLIES")</f>
        <v xml:space="preserve">          6243 - PAPER SUPPLIES</v>
      </c>
      <c r="C92" s="11"/>
      <c r="D92" s="6">
        <v>648.79999999999995</v>
      </c>
      <c r="E92" s="2"/>
      <c r="F92" s="7">
        <f t="shared" si="67"/>
        <v>3.1438662868312796E-3</v>
      </c>
      <c r="G92" s="2"/>
      <c r="H92" s="6"/>
      <c r="I92" s="2"/>
      <c r="J92" s="7">
        <f t="shared" si="68"/>
        <v>0</v>
      </c>
      <c r="K92" s="2"/>
      <c r="L92" s="6">
        <f t="shared" si="69"/>
        <v>648.79999999999995</v>
      </c>
      <c r="M92" s="2"/>
      <c r="N92" s="7">
        <f t="shared" si="70"/>
        <v>0</v>
      </c>
      <c r="O92" s="11"/>
      <c r="P92" s="6">
        <v>1185.5899999999999</v>
      </c>
      <c r="Q92" s="2"/>
      <c r="R92" s="7">
        <f t="shared" si="71"/>
        <v>2.7489097823664016E-3</v>
      </c>
      <c r="S92" s="2"/>
      <c r="T92" s="6"/>
      <c r="U92" s="2"/>
      <c r="V92" s="7">
        <f t="shared" si="72"/>
        <v>0</v>
      </c>
      <c r="W92" s="2"/>
      <c r="X92" s="6">
        <f t="shared" si="73"/>
        <v>1185.5899999999999</v>
      </c>
      <c r="Y92" s="2"/>
      <c r="Z92" s="7">
        <f t="shared" si="74"/>
        <v>0</v>
      </c>
    </row>
    <row r="93" spans="1:26" s="24" customFormat="1" hidden="1" outlineLevel="2" x14ac:dyDescent="0.25">
      <c r="A93" s="29"/>
      <c r="B93" s="11" t="str">
        <f>CONCATENATE("          ", "6245", " - ", "PRINTING")</f>
        <v xml:space="preserve">          6245 - PRINTING</v>
      </c>
      <c r="C93" s="11"/>
      <c r="D93" s="6">
        <v>1071</v>
      </c>
      <c r="E93" s="2"/>
      <c r="F93" s="7">
        <f t="shared" si="67"/>
        <v>5.1897052916095882E-3</v>
      </c>
      <c r="G93" s="2"/>
      <c r="H93" s="6"/>
      <c r="I93" s="2"/>
      <c r="J93" s="7">
        <f t="shared" si="68"/>
        <v>0</v>
      </c>
      <c r="K93" s="2"/>
      <c r="L93" s="6">
        <f t="shared" si="69"/>
        <v>1071</v>
      </c>
      <c r="M93" s="2"/>
      <c r="N93" s="7">
        <f t="shared" si="70"/>
        <v>0</v>
      </c>
      <c r="O93" s="11"/>
      <c r="P93" s="6">
        <v>1071</v>
      </c>
      <c r="Q93" s="2"/>
      <c r="R93" s="7">
        <f t="shared" si="71"/>
        <v>2.48322133023593E-3</v>
      </c>
      <c r="S93" s="2"/>
      <c r="T93" s="6"/>
      <c r="U93" s="2"/>
      <c r="V93" s="7">
        <f t="shared" si="72"/>
        <v>0</v>
      </c>
      <c r="W93" s="2"/>
      <c r="X93" s="6">
        <f t="shared" si="73"/>
        <v>1071</v>
      </c>
      <c r="Y93" s="2"/>
      <c r="Z93" s="7">
        <f t="shared" si="74"/>
        <v>0</v>
      </c>
    </row>
    <row r="94" spans="1:26" s="24" customFormat="1" hidden="1" outlineLevel="2" x14ac:dyDescent="0.25">
      <c r="A94" s="29"/>
      <c r="B94" s="11" t="str">
        <f>CONCATENATE("          ", "6247", " - ", "STORE SUPPLIES")</f>
        <v xml:space="preserve">          6247 - STORE SUPPLIES</v>
      </c>
      <c r="C94" s="11"/>
      <c r="D94" s="6">
        <v>352.76</v>
      </c>
      <c r="E94" s="2"/>
      <c r="F94" s="7">
        <f t="shared" si="67"/>
        <v>1.7093561518844054E-3</v>
      </c>
      <c r="G94" s="2"/>
      <c r="H94" s="6">
        <v>41</v>
      </c>
      <c r="I94" s="2"/>
      <c r="J94" s="7">
        <f t="shared" si="68"/>
        <v>9.4207610596288216E-4</v>
      </c>
      <c r="K94" s="2"/>
      <c r="L94" s="6">
        <f t="shared" si="69"/>
        <v>311.76</v>
      </c>
      <c r="M94" s="2"/>
      <c r="N94" s="7">
        <f t="shared" si="70"/>
        <v>7.6039024390243899</v>
      </c>
      <c r="O94" s="11"/>
      <c r="P94" s="6">
        <v>1124.72</v>
      </c>
      <c r="Q94" s="2"/>
      <c r="R94" s="7">
        <f t="shared" si="71"/>
        <v>2.6077765588636372E-3</v>
      </c>
      <c r="S94" s="2"/>
      <c r="T94" s="6">
        <v>121.28</v>
      </c>
      <c r="U94" s="2"/>
      <c r="V94" s="7">
        <f t="shared" si="72"/>
        <v>2.0053284725723214E-3</v>
      </c>
      <c r="W94" s="2"/>
      <c r="X94" s="6">
        <f t="shared" si="73"/>
        <v>1003.44</v>
      </c>
      <c r="Y94" s="2"/>
      <c r="Z94" s="7">
        <f t="shared" si="74"/>
        <v>8.2737467018469655</v>
      </c>
    </row>
    <row r="95" spans="1:26" s="28" customFormat="1" outlineLevel="1" collapsed="1" x14ac:dyDescent="0.25">
      <c r="A95" s="27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SUM(OSRRefD22_18x_0)</f>
        <v>842.11</v>
      </c>
      <c r="E95" s="1"/>
      <c r="F95" s="5">
        <f t="shared" ref="F95:F100" si="75">IF(D$12=0,0,D95/D$12)</f>
        <v>4.0805814408191882E-3</v>
      </c>
      <c r="G95" s="1"/>
      <c r="H95" s="1">
        <f>SUM(OSRRefH22_18x_0)</f>
        <v>1515.66</v>
      </c>
      <c r="I95" s="1"/>
      <c r="J95" s="5">
        <f t="shared" ref="J95:J100" si="76">IF(H$12=0,0,H95/H$12)</f>
        <v>3.4826026116187854E-2</v>
      </c>
      <c r="K95" s="1"/>
      <c r="L95" s="1">
        <f t="shared" ref="L95:L100" si="77">+D95-H95</f>
        <v>-673.55000000000007</v>
      </c>
      <c r="M95" s="1"/>
      <c r="N95" s="5">
        <f t="shared" ref="N95:N100" si="78">IF(H95=0,0,L95/H95)</f>
        <v>-0.44439386142010745</v>
      </c>
      <c r="O95" s="14"/>
      <c r="P95" s="1">
        <f>SUM(OSRRefP22_18x_0)</f>
        <v>3380.39</v>
      </c>
      <c r="Q95" s="1"/>
      <c r="R95" s="5">
        <f t="shared" ref="R95:R100" si="79">IF(P$12=0,0,P95/P$12)</f>
        <v>7.8377745588386893E-3</v>
      </c>
      <c r="S95" s="1"/>
      <c r="T95" s="1">
        <f>SUM(OSRRefT22_18x_0)</f>
        <v>5693.31</v>
      </c>
      <c r="U95" s="1"/>
      <c r="V95" s="5">
        <f t="shared" ref="V95:V100" si="80">IF(T$12=0,0,T95/T$12)</f>
        <v>9.4137175512703855E-2</v>
      </c>
      <c r="W95" s="1"/>
      <c r="X95" s="1">
        <f t="shared" ref="X95:X100" si="81">+P95-T95</f>
        <v>-2312.9200000000005</v>
      </c>
      <c r="Y95" s="1"/>
      <c r="Z95" s="5">
        <f t="shared" ref="Z95:Z100" si="82">IF(T95=0,0,X95/T95)</f>
        <v>-0.4062522504483333</v>
      </c>
    </row>
    <row r="96" spans="1:26" s="24" customFormat="1" hidden="1" outlineLevel="2" x14ac:dyDescent="0.25">
      <c r="A96" s="29"/>
      <c r="B96" s="11" t="str">
        <f>CONCATENATE("          ", "6309", " - ", "TELEPHONE")</f>
        <v xml:space="preserve">          6309 - TELEPHONE</v>
      </c>
      <c r="C96" s="11"/>
      <c r="D96" s="6">
        <v>842.11</v>
      </c>
      <c r="E96" s="2"/>
      <c r="F96" s="7">
        <f t="shared" si="75"/>
        <v>4.0805814408191882E-3</v>
      </c>
      <c r="G96" s="2"/>
      <c r="H96" s="6">
        <v>1515.66</v>
      </c>
      <c r="I96" s="2"/>
      <c r="J96" s="7">
        <f t="shared" si="76"/>
        <v>3.4826026116187854E-2</v>
      </c>
      <c r="K96" s="2"/>
      <c r="L96" s="6">
        <f t="shared" si="77"/>
        <v>-673.55000000000007</v>
      </c>
      <c r="M96" s="2"/>
      <c r="N96" s="7">
        <f t="shared" si="78"/>
        <v>-0.44439386142010745</v>
      </c>
      <c r="O96" s="11"/>
      <c r="P96" s="6">
        <v>3380.39</v>
      </c>
      <c r="Q96" s="2"/>
      <c r="R96" s="7">
        <f t="shared" si="79"/>
        <v>7.8377745588386893E-3</v>
      </c>
      <c r="S96" s="2"/>
      <c r="T96" s="6">
        <v>5693.31</v>
      </c>
      <c r="U96" s="2"/>
      <c r="V96" s="7">
        <f t="shared" si="80"/>
        <v>9.4137175512703855E-2</v>
      </c>
      <c r="W96" s="2"/>
      <c r="X96" s="6">
        <f t="shared" si="81"/>
        <v>-2312.9200000000005</v>
      </c>
      <c r="Y96" s="2"/>
      <c r="Z96" s="7">
        <f t="shared" si="82"/>
        <v>-0.4062522504483333</v>
      </c>
    </row>
    <row r="97" spans="1:26" s="28" customFormat="1" outlineLevel="1" collapsed="1" x14ac:dyDescent="0.25">
      <c r="A97" s="27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SUM(OSRRefD22_19x_0)</f>
        <v>0</v>
      </c>
      <c r="E97" s="1"/>
      <c r="F97" s="5">
        <f t="shared" si="75"/>
        <v>0</v>
      </c>
      <c r="G97" s="1"/>
      <c r="H97" s="1">
        <f>SUM(OSRRefH22_19x_0)</f>
        <v>0</v>
      </c>
      <c r="I97" s="1"/>
      <c r="J97" s="5">
        <f t="shared" si="76"/>
        <v>0</v>
      </c>
      <c r="K97" s="1"/>
      <c r="L97" s="1">
        <f t="shared" si="77"/>
        <v>0</v>
      </c>
      <c r="M97" s="1"/>
      <c r="N97" s="5">
        <f t="shared" si="78"/>
        <v>0</v>
      </c>
      <c r="O97" s="14"/>
      <c r="P97" s="1">
        <f>SUM(OSRRefP22_19x_0)</f>
        <v>0</v>
      </c>
      <c r="Q97" s="1"/>
      <c r="R97" s="5">
        <f t="shared" si="79"/>
        <v>0</v>
      </c>
      <c r="S97" s="1"/>
      <c r="T97" s="1">
        <f>SUM(OSRRefT22_19x_0)</f>
        <v>332.21</v>
      </c>
      <c r="U97" s="1"/>
      <c r="V97" s="5">
        <f t="shared" si="80"/>
        <v>5.4929928419628201E-3</v>
      </c>
      <c r="W97" s="1"/>
      <c r="X97" s="1">
        <f t="shared" si="81"/>
        <v>-332.21</v>
      </c>
      <c r="Y97" s="1"/>
      <c r="Z97" s="5">
        <f t="shared" si="82"/>
        <v>-1</v>
      </c>
    </row>
    <row r="98" spans="1:26" s="24" customFormat="1" hidden="1" outlineLevel="2" x14ac:dyDescent="0.25">
      <c r="A98" s="29"/>
      <c r="B98" s="11" t="str">
        <f>CONCATENATE("          ", "6298", " - ", "VEHICLE MILEAGE")</f>
        <v xml:space="preserve">          6298 - VEHICLE MILEAGE</v>
      </c>
      <c r="C98" s="11"/>
      <c r="D98" s="6"/>
      <c r="E98" s="2"/>
      <c r="F98" s="7">
        <f t="shared" si="75"/>
        <v>0</v>
      </c>
      <c r="G98" s="2"/>
      <c r="H98" s="6"/>
      <c r="I98" s="2"/>
      <c r="J98" s="7">
        <f t="shared" si="76"/>
        <v>0</v>
      </c>
      <c r="K98" s="2"/>
      <c r="L98" s="6">
        <f t="shared" si="77"/>
        <v>0</v>
      </c>
      <c r="M98" s="2"/>
      <c r="N98" s="7">
        <f t="shared" si="78"/>
        <v>0</v>
      </c>
      <c r="O98" s="11"/>
      <c r="P98" s="6"/>
      <c r="Q98" s="2"/>
      <c r="R98" s="7">
        <f t="shared" si="79"/>
        <v>0</v>
      </c>
      <c r="S98" s="2"/>
      <c r="T98" s="6">
        <v>332.21</v>
      </c>
      <c r="U98" s="2"/>
      <c r="V98" s="7">
        <f t="shared" si="80"/>
        <v>5.4929928419628201E-3</v>
      </c>
      <c r="W98" s="2"/>
      <c r="X98" s="6">
        <f t="shared" si="81"/>
        <v>-332.21</v>
      </c>
      <c r="Y98" s="2"/>
      <c r="Z98" s="7">
        <f t="shared" si="82"/>
        <v>-1</v>
      </c>
    </row>
    <row r="99" spans="1:26" s="28" customFormat="1" outlineLevel="1" collapsed="1" x14ac:dyDescent="0.25">
      <c r="A99" s="27"/>
      <c r="B99" s="14" t="str">
        <f>CONCATENATE("     ","Utilities                                         ")</f>
        <v xml:space="preserve">     Utilities                                         </v>
      </c>
      <c r="C99" s="14"/>
      <c r="D99" s="1">
        <f>SUM(OSRRefD22_20x_0)</f>
        <v>5850</v>
      </c>
      <c r="E99" s="1"/>
      <c r="F99" s="5">
        <f t="shared" si="75"/>
        <v>2.8347129744085986E-2</v>
      </c>
      <c r="G99" s="1"/>
      <c r="H99" s="1">
        <f>SUM(OSRRefH22_20x_0)</f>
        <v>-12092</v>
      </c>
      <c r="I99" s="1"/>
      <c r="J99" s="5">
        <f t="shared" si="76"/>
        <v>-0.27784351886105296</v>
      </c>
      <c r="K99" s="1"/>
      <c r="L99" s="1">
        <f t="shared" si="77"/>
        <v>17942</v>
      </c>
      <c r="M99" s="1"/>
      <c r="N99" s="5">
        <f t="shared" si="78"/>
        <v>-1.4837909361561363</v>
      </c>
      <c r="O99" s="14"/>
      <c r="P99" s="1">
        <f>SUM(OSRRefP22_20x_0)</f>
        <v>30600</v>
      </c>
      <c r="Q99" s="1"/>
      <c r="R99" s="5">
        <f t="shared" si="79"/>
        <v>7.0949180863883715E-2</v>
      </c>
      <c r="S99" s="1"/>
      <c r="T99" s="1">
        <f>SUM(OSRRefT22_20x_0)</f>
        <v>-5042</v>
      </c>
      <c r="U99" s="1"/>
      <c r="V99" s="5">
        <f t="shared" si="80"/>
        <v>-8.3367959751893511E-2</v>
      </c>
      <c r="W99" s="1"/>
      <c r="X99" s="1">
        <f t="shared" si="81"/>
        <v>35642</v>
      </c>
      <c r="Y99" s="1"/>
      <c r="Z99" s="5">
        <f t="shared" si="82"/>
        <v>-7.0690202300674336</v>
      </c>
    </row>
    <row r="100" spans="1:26" s="24" customFormat="1" hidden="1" outlineLevel="2" x14ac:dyDescent="0.25">
      <c r="A100" s="29"/>
      <c r="B100" s="11" t="str">
        <f>CONCATENATE("          ", "6274", " - ", "UTILITIES")</f>
        <v xml:space="preserve">          6274 - UTILITIES</v>
      </c>
      <c r="C100" s="11"/>
      <c r="D100" s="6">
        <v>5850</v>
      </c>
      <c r="E100" s="2"/>
      <c r="F100" s="7">
        <f t="shared" si="75"/>
        <v>2.8347129744085986E-2</v>
      </c>
      <c r="G100" s="2"/>
      <c r="H100" s="6">
        <v>-12092</v>
      </c>
      <c r="I100" s="2"/>
      <c r="J100" s="7">
        <f t="shared" si="76"/>
        <v>-0.27784351886105296</v>
      </c>
      <c r="K100" s="2"/>
      <c r="L100" s="6">
        <f t="shared" si="77"/>
        <v>17942</v>
      </c>
      <c r="M100" s="2"/>
      <c r="N100" s="7">
        <f t="shared" si="78"/>
        <v>-1.4837909361561363</v>
      </c>
      <c r="O100" s="11"/>
      <c r="P100" s="6">
        <v>30600</v>
      </c>
      <c r="Q100" s="2"/>
      <c r="R100" s="7">
        <f t="shared" si="79"/>
        <v>7.0949180863883715E-2</v>
      </c>
      <c r="S100" s="2"/>
      <c r="T100" s="6">
        <v>-5042</v>
      </c>
      <c r="U100" s="2"/>
      <c r="V100" s="7">
        <f t="shared" si="80"/>
        <v>-8.3367959751893511E-2</v>
      </c>
      <c r="W100" s="2"/>
      <c r="X100" s="6">
        <f t="shared" si="81"/>
        <v>35642</v>
      </c>
      <c r="Y100" s="2"/>
      <c r="Z100" s="7">
        <f t="shared" si="82"/>
        <v>-7.0690202300674336</v>
      </c>
    </row>
    <row r="101" spans="1:26" s="56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5" t="s">
        <v>292</v>
      </c>
      <c r="C102" s="10"/>
      <c r="D102" s="4">
        <f>SUM(OSRRefD25x_0)</f>
        <v>6812.67</v>
      </c>
      <c r="E102" s="4"/>
      <c r="F102" s="12">
        <f t="shared" ref="F102:F105" si="83">IF(D$12=0,0,D102/D$12)</f>
        <v>3.3011904340793548E-2</v>
      </c>
      <c r="G102" s="4"/>
      <c r="H102" s="4">
        <f>SUM(OSRRefH25x_0)</f>
        <v>457.28</v>
      </c>
      <c r="I102" s="4"/>
      <c r="J102" s="12">
        <f t="shared" ref="J102:J105" si="84">IF(H$12=0,0,H102/H$12)</f>
        <v>1.0507135652066018E-2</v>
      </c>
      <c r="K102" s="4"/>
      <c r="L102" s="4">
        <f t="shared" ref="L102:L105" si="85">+D102-H102</f>
        <v>6355.39</v>
      </c>
      <c r="M102" s="4"/>
      <c r="N102" s="12">
        <f t="shared" ref="N102:N105" si="86">IF(H102=0,0,L102/H102)</f>
        <v>13.898246151154655</v>
      </c>
      <c r="O102" s="10"/>
      <c r="P102" s="4">
        <f>SUM(OSRRefP25x_0)</f>
        <v>24006.720000000001</v>
      </c>
      <c r="Q102" s="4"/>
      <c r="R102" s="12">
        <f t="shared" ref="R102:R105" si="87">IF(P$12=0,0,P102/P$12)</f>
        <v>5.5661997360412246E-2</v>
      </c>
      <c r="S102" s="4"/>
      <c r="T102" s="4">
        <f>SUM(OSRRefT25x_0)</f>
        <v>4077.2</v>
      </c>
      <c r="U102" s="4"/>
      <c r="V102" s="12">
        <f t="shared" ref="V102:V105" si="88">IF(T$12=0,0,T102/T$12)</f>
        <v>6.7415280741852476E-2</v>
      </c>
      <c r="W102" s="4"/>
      <c r="X102" s="4">
        <f t="shared" ref="X102:X105" si="89">+P102-T102</f>
        <v>19929.52</v>
      </c>
      <c r="Y102" s="4"/>
      <c r="Z102" s="12">
        <f t="shared" ref="Z102:Z105" si="90">IF(T102=0,0,X102/T102)</f>
        <v>4.8880408123221821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--6812.67</f>
        <v>6812.67</v>
      </c>
      <c r="E103" s="2"/>
      <c r="F103" s="19">
        <f t="shared" si="83"/>
        <v>3.3011904340793548E-2</v>
      </c>
      <c r="G103" s="2"/>
      <c r="H103" s="2">
        <f>--119.09</f>
        <v>119.09</v>
      </c>
      <c r="I103" s="2"/>
      <c r="J103" s="19">
        <f t="shared" si="84"/>
        <v>2.7363864258321863E-3</v>
      </c>
      <c r="K103" s="2"/>
      <c r="L103" s="2">
        <f t="shared" si="85"/>
        <v>6693.58</v>
      </c>
      <c r="M103" s="2"/>
      <c r="N103" s="19">
        <f t="shared" si="86"/>
        <v>56.206062641699553</v>
      </c>
      <c r="O103" s="11"/>
      <c r="P103" s="2">
        <f>--24006.72</f>
        <v>24006.720000000001</v>
      </c>
      <c r="Q103" s="2"/>
      <c r="R103" s="19">
        <f t="shared" si="87"/>
        <v>5.5661997360412246E-2</v>
      </c>
      <c r="S103" s="2"/>
      <c r="T103" s="2">
        <f>--923.77</f>
        <v>923.77</v>
      </c>
      <c r="U103" s="2"/>
      <c r="V103" s="19">
        <f t="shared" si="88"/>
        <v>1.5274260249902154E-2</v>
      </c>
      <c r="W103" s="2"/>
      <c r="X103" s="2">
        <f t="shared" si="89"/>
        <v>23082.95</v>
      </c>
      <c r="Y103" s="2"/>
      <c r="Z103" s="19">
        <f t="shared" si="90"/>
        <v>24.987767517888653</v>
      </c>
    </row>
    <row r="104" spans="1:26" s="24" customFormat="1" hidden="1" outlineLevel="1" x14ac:dyDescent="0.25">
      <c r="A104" s="44"/>
      <c r="B104" s="11" t="str">
        <f>CONCATENATE("          ", "9160", " - ", "MISC. INCOME")</f>
        <v xml:space="preserve">          9160 - MISC. INCOME</v>
      </c>
      <c r="C104" s="11"/>
      <c r="D104" s="2">
        <f t="shared" ref="D104:D105" si="91">0</f>
        <v>0</v>
      </c>
      <c r="E104" s="2"/>
      <c r="F104" s="19">
        <f t="shared" si="83"/>
        <v>0</v>
      </c>
      <c r="G104" s="2"/>
      <c r="H104" s="2">
        <f>--338.19</f>
        <v>338.19</v>
      </c>
      <c r="I104" s="2"/>
      <c r="J104" s="19">
        <f t="shared" si="84"/>
        <v>7.7707492262338324E-3</v>
      </c>
      <c r="K104" s="2"/>
      <c r="L104" s="2">
        <f t="shared" si="85"/>
        <v>-338.19</v>
      </c>
      <c r="M104" s="2"/>
      <c r="N104" s="19">
        <f t="shared" si="86"/>
        <v>-1</v>
      </c>
      <c r="O104" s="11"/>
      <c r="P104" s="2">
        <f t="shared" ref="P104:P105" si="92">0</f>
        <v>0</v>
      </c>
      <c r="Q104" s="2"/>
      <c r="R104" s="19">
        <f t="shared" si="87"/>
        <v>0</v>
      </c>
      <c r="S104" s="2"/>
      <c r="T104" s="2">
        <f>--2328.25</f>
        <v>2328.25</v>
      </c>
      <c r="U104" s="2"/>
      <c r="V104" s="19">
        <f t="shared" si="88"/>
        <v>3.8496916361036505E-2</v>
      </c>
      <c r="W104" s="2"/>
      <c r="X104" s="2">
        <f t="shared" si="89"/>
        <v>-2328.25</v>
      </c>
      <c r="Y104" s="2"/>
      <c r="Z104" s="19">
        <f t="shared" si="90"/>
        <v>-1</v>
      </c>
    </row>
    <row r="105" spans="1:26" s="24" customFormat="1" hidden="1" outlineLevel="1" x14ac:dyDescent="0.25">
      <c r="A105" s="44"/>
      <c r="B105" s="11" t="str">
        <f>CONCATENATE("          ", "9165", " - ", "OTHER INCOME")</f>
        <v xml:space="preserve">          9165 - OTHER INCOME</v>
      </c>
      <c r="C105" s="11"/>
      <c r="D105" s="2">
        <f t="shared" si="91"/>
        <v>0</v>
      </c>
      <c r="E105" s="2"/>
      <c r="F105" s="19">
        <f t="shared" si="83"/>
        <v>0</v>
      </c>
      <c r="G105" s="2"/>
      <c r="H105" s="2">
        <f>0</f>
        <v>0</v>
      </c>
      <c r="I105" s="2"/>
      <c r="J105" s="19">
        <f t="shared" si="84"/>
        <v>0</v>
      </c>
      <c r="K105" s="2"/>
      <c r="L105" s="2">
        <f t="shared" si="85"/>
        <v>0</v>
      </c>
      <c r="M105" s="2"/>
      <c r="N105" s="19">
        <f t="shared" si="86"/>
        <v>0</v>
      </c>
      <c r="O105" s="11"/>
      <c r="P105" s="2">
        <f t="shared" si="92"/>
        <v>0</v>
      </c>
      <c r="Q105" s="2"/>
      <c r="R105" s="19">
        <f t="shared" si="87"/>
        <v>0</v>
      </c>
      <c r="S105" s="2"/>
      <c r="T105" s="2">
        <f>--825.18</f>
        <v>825.18</v>
      </c>
      <c r="U105" s="2"/>
      <c r="V105" s="19">
        <f t="shared" si="88"/>
        <v>1.364410413091382E-2</v>
      </c>
      <c r="W105" s="2"/>
      <c r="X105" s="2">
        <f t="shared" si="89"/>
        <v>-825.18</v>
      </c>
      <c r="Y105" s="2"/>
      <c r="Z105" s="19">
        <f t="shared" si="90"/>
        <v>-1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276</v>
      </c>
      <c r="C107" s="26"/>
      <c r="D107" s="22">
        <f>+D31-D33+D102</f>
        <v>-106671.09999999995</v>
      </c>
      <c r="E107" s="13"/>
      <c r="F107" s="20">
        <f>IF(D$12=0,0,D107/D$12)</f>
        <v>-0.51689222421271264</v>
      </c>
      <c r="G107" s="13"/>
      <c r="H107" s="22">
        <f>+H31-H33+H102</f>
        <v>-118845.23000000001</v>
      </c>
      <c r="I107" s="13"/>
      <c r="J107" s="20">
        <f>IF(H$12=0,0,H107/H$12)</f>
        <v>-2.7307622314795883</v>
      </c>
      <c r="K107" s="15"/>
      <c r="L107" s="22">
        <f>+D107-H107</f>
        <v>12174.130000000063</v>
      </c>
      <c r="M107" s="15"/>
      <c r="N107" s="20">
        <f>IF(H107=0,0,L107/H107)</f>
        <v>-0.10243684159641966</v>
      </c>
      <c r="O107" s="25"/>
      <c r="P107" s="22">
        <f>+P31-P33+P102</f>
        <v>-525697.32000000018</v>
      </c>
      <c r="Q107" s="13"/>
      <c r="R107" s="20">
        <f>IF(P$12=0,0,P107/P$12)</f>
        <v>-1.2188821645862409</v>
      </c>
      <c r="S107" s="13"/>
      <c r="T107" s="22">
        <f>+T31-T33+T102</f>
        <v>-529289.74999999977</v>
      </c>
      <c r="U107" s="13"/>
      <c r="V107" s="20">
        <f>IF(T$12=0,0,T107/T$12)</f>
        <v>-8.7516474762177232</v>
      </c>
      <c r="W107" s="15"/>
      <c r="X107" s="22">
        <f>+P107-T107</f>
        <v>3592.4299999995856</v>
      </c>
      <c r="Y107" s="15"/>
      <c r="Z107" s="20">
        <f>IF(T107=0,0,X107/T107)</f>
        <v>-6.7872653872469418E-3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127</v>
      </c>
      <c r="C109" s="10"/>
      <c r="D109" s="4">
        <v>22013.919999999998</v>
      </c>
      <c r="E109" s="4"/>
      <c r="F109" s="12">
        <f>IF(D$12=0,0,D109/D$12)</f>
        <v>0.10667204212238107</v>
      </c>
      <c r="G109" s="4"/>
      <c r="H109" s="4">
        <v>9959.48</v>
      </c>
      <c r="I109" s="4"/>
      <c r="J109" s="12">
        <f>IF(H$12=0,0,H109/H$12)</f>
        <v>0.22884361306866355</v>
      </c>
      <c r="K109" s="4"/>
      <c r="L109" s="4">
        <f>+D109-H109</f>
        <v>12054.439999999999</v>
      </c>
      <c r="M109" s="4"/>
      <c r="N109" s="12">
        <f>IF(H109=0,0,L109/H109)</f>
        <v>1.2103483314389907</v>
      </c>
      <c r="O109" s="10"/>
      <c r="P109" s="4">
        <v>49854.1</v>
      </c>
      <c r="Q109" s="4"/>
      <c r="R109" s="12">
        <f>IF(P$12=0,0,P109/P$12)</f>
        <v>0.11559175025183481</v>
      </c>
      <c r="S109" s="4"/>
      <c r="T109" s="4">
        <v>13101.04</v>
      </c>
      <c r="U109" s="4"/>
      <c r="V109" s="12">
        <f>IF(T$12=0,0,T109/T$12)</f>
        <v>0.21662177219911682</v>
      </c>
      <c r="W109" s="4"/>
      <c r="X109" s="4">
        <f>+P109-T109</f>
        <v>36753.06</v>
      </c>
      <c r="Y109" s="4"/>
      <c r="Z109" s="12">
        <f>IF(T109=0,0,X109/T109)</f>
        <v>2.8053543840794317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125</v>
      </c>
      <c r="C111" s="26"/>
      <c r="D111" s="33">
        <f>+D107-D109</f>
        <v>-128685.01999999995</v>
      </c>
      <c r="E111" s="13"/>
      <c r="F111" s="31">
        <f>IF(D$12=0,0,D111/D$12)</f>
        <v>-0.62356426633509376</v>
      </c>
      <c r="G111" s="13"/>
      <c r="H111" s="33">
        <f>+H107-H109</f>
        <v>-128804.71</v>
      </c>
      <c r="I111" s="13"/>
      <c r="J111" s="31">
        <f>IF(H$12=0,0,H111/H$12)</f>
        <v>-2.9596058445482516</v>
      </c>
      <c r="K111" s="15"/>
      <c r="L111" s="33">
        <f>D111-H111</f>
        <v>119.69000000006054</v>
      </c>
      <c r="M111" s="15"/>
      <c r="N111" s="31">
        <f>IF(H111=0,0,L111/H111)</f>
        <v>-9.2923620572617671E-4</v>
      </c>
      <c r="O111" s="25"/>
      <c r="P111" s="33">
        <f>+P107-P109</f>
        <v>-575551.42000000016</v>
      </c>
      <c r="Q111" s="13"/>
      <c r="R111" s="31">
        <f>IF(P$12=0,0,P111/P$12)</f>
        <v>-1.3344739148380755</v>
      </c>
      <c r="S111" s="13"/>
      <c r="T111" s="33">
        <f>+T107-T109</f>
        <v>-542390.7899999998</v>
      </c>
      <c r="U111" s="13"/>
      <c r="V111" s="31">
        <f>IF(T$12=0,0,T111/T$12)</f>
        <v>-8.9682692484168403</v>
      </c>
      <c r="W111" s="15"/>
      <c r="X111" s="33">
        <f>P111-T111</f>
        <v>-33160.630000000354</v>
      </c>
      <c r="Y111" s="15"/>
      <c r="Z111" s="31">
        <f>IF(T111=0,0,X111/T111)</f>
        <v>6.1137892846595654E-2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293</v>
      </c>
      <c r="C114" s="26"/>
      <c r="D114" s="34">
        <f>SUM(D111:D113)</f>
        <v>-128685.01999999995</v>
      </c>
      <c r="E114" s="13"/>
      <c r="F114" s="30">
        <f>IF(D$12=0,0,D114/D$12)</f>
        <v>-0.62356426633509376</v>
      </c>
      <c r="G114" s="13"/>
      <c r="H114" s="34">
        <f>SUM(H111:H113)</f>
        <v>-128804.71</v>
      </c>
      <c r="I114" s="13"/>
      <c r="J114" s="30">
        <f>IF(H$12=0,0,H114/H$12)</f>
        <v>-2.9596058445482516</v>
      </c>
      <c r="K114" s="15"/>
      <c r="L114" s="34">
        <f>+D114-H114</f>
        <v>119.69000000006054</v>
      </c>
      <c r="M114" s="15"/>
      <c r="N114" s="30">
        <f>IF(H114=0,0,L114/H114)</f>
        <v>-9.2923620572617671E-4</v>
      </c>
      <c r="O114" s="25"/>
      <c r="P114" s="34">
        <f>SUM(P111:P113)</f>
        <v>-575551.42000000016</v>
      </c>
      <c r="Q114" s="13"/>
      <c r="R114" s="30">
        <f>IF(P$12=0,0,P114/P$12)</f>
        <v>-1.3344739148380755</v>
      </c>
      <c r="S114" s="13"/>
      <c r="T114" s="34">
        <f>SUM(T111:T113)</f>
        <v>-542390.7899999998</v>
      </c>
      <c r="U114" s="13"/>
      <c r="V114" s="30">
        <f>IF(T$12=0,0,T114/T$12)</f>
        <v>-8.9682692484168403</v>
      </c>
      <c r="W114" s="15"/>
      <c r="X114" s="34">
        <f>+P114-T114</f>
        <v>-33160.630000000354</v>
      </c>
      <c r="Y114" s="15"/>
      <c r="Z114" s="30">
        <f>IF(T114=0,0,X114/T114)</f>
        <v>6.1137892846595654E-2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61">
        <v>44517.966984837964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7" t="s">
        <v>56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8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180540.05000000002</v>
      </c>
      <c r="E12" s="4"/>
      <c r="F12" s="12"/>
      <c r="G12" s="4"/>
      <c r="H12" s="4">
        <f>SUM(OSRRefH13x_0)</f>
        <v>43520.9</v>
      </c>
      <c r="I12" s="4"/>
      <c r="J12" s="12"/>
      <c r="K12" s="4"/>
      <c r="L12" s="4">
        <f t="shared" ref="L12:L17" si="0">+D12-H12</f>
        <v>137019.15000000002</v>
      </c>
      <c r="M12" s="4"/>
      <c r="N12" s="12">
        <f t="shared" ref="N12:N17" si="1">IF(H12=0,0,L12/H12)</f>
        <v>3.1483528603498554</v>
      </c>
      <c r="O12" s="10"/>
      <c r="P12" s="4">
        <f>SUM(OSRRefP13x_0)</f>
        <v>382686.53</v>
      </c>
      <c r="Q12" s="4"/>
      <c r="R12" s="12"/>
      <c r="S12" s="4"/>
      <c r="T12" s="4">
        <f>SUM(OSRRefT13x_0)</f>
        <v>57892.400000000009</v>
      </c>
      <c r="U12" s="4"/>
      <c r="V12" s="12"/>
      <c r="W12" s="4"/>
      <c r="X12" s="4">
        <f t="shared" ref="X12:X17" si="2">+P12-T12</f>
        <v>324794.13</v>
      </c>
      <c r="Y12" s="4"/>
      <c r="Z12" s="12">
        <f t="shared" ref="Z12:Z17" si="3">IF(T12=0,0,X12/T12)</f>
        <v>5.6103068796595057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--39274.26</f>
        <v>39274.26</v>
      </c>
      <c r="E13" s="2"/>
      <c r="F13" s="19"/>
      <c r="G13" s="2"/>
      <c r="H13" s="2">
        <f>--6097.26</f>
        <v>6097.26</v>
      </c>
      <c r="I13" s="2"/>
      <c r="J13" s="19"/>
      <c r="K13" s="2"/>
      <c r="L13" s="2">
        <f t="shared" si="0"/>
        <v>33177</v>
      </c>
      <c r="M13" s="2"/>
      <c r="N13" s="19">
        <f t="shared" si="1"/>
        <v>5.4412965823993069</v>
      </c>
      <c r="O13" s="11"/>
      <c r="P13" s="2">
        <f>--104250.57</f>
        <v>104250.57</v>
      </c>
      <c r="Q13" s="2"/>
      <c r="R13" s="19"/>
      <c r="S13" s="2"/>
      <c r="T13" s="2">
        <f>--12749.94</f>
        <v>12749.94</v>
      </c>
      <c r="U13" s="2"/>
      <c r="V13" s="19"/>
      <c r="W13" s="2"/>
      <c r="X13" s="2">
        <f t="shared" si="2"/>
        <v>91500.63</v>
      </c>
      <c r="Y13" s="2"/>
      <c r="Z13" s="19">
        <f t="shared" si="3"/>
        <v>7.1765537720177504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--30231.29</f>
        <v>30231.29</v>
      </c>
      <c r="I14" s="2"/>
      <c r="J14" s="19"/>
      <c r="K14" s="2"/>
      <c r="L14" s="2">
        <f t="shared" si="0"/>
        <v>-30231.29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--30231.29</f>
        <v>30231.29</v>
      </c>
      <c r="U14" s="2"/>
      <c r="V14" s="19"/>
      <c r="W14" s="2"/>
      <c r="X14" s="2">
        <f t="shared" si="2"/>
        <v>-30231.29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--4264.84</f>
        <v>4264.84</v>
      </c>
      <c r="E15" s="2"/>
      <c r="F15" s="19"/>
      <c r="G15" s="2"/>
      <c r="H15" s="2">
        <f t="shared" ref="H15:H16" si="4">0</f>
        <v>0</v>
      </c>
      <c r="I15" s="2"/>
      <c r="J15" s="19"/>
      <c r="K15" s="2"/>
      <c r="L15" s="2">
        <f t="shared" si="0"/>
        <v>4264.84</v>
      </c>
      <c r="M15" s="2"/>
      <c r="N15" s="19">
        <f t="shared" si="1"/>
        <v>0</v>
      </c>
      <c r="O15" s="11"/>
      <c r="P15" s="2">
        <f>--4264.84</f>
        <v>4264.84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4264.84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--137000.95</f>
        <v>137000.95000000001</v>
      </c>
      <c r="E17" s="2"/>
      <c r="F17" s="19"/>
      <c r="G17" s="2"/>
      <c r="H17" s="2">
        <f>--7192.35</f>
        <v>7192.35</v>
      </c>
      <c r="I17" s="2"/>
      <c r="J17" s="19"/>
      <c r="K17" s="2"/>
      <c r="L17" s="2">
        <f t="shared" si="0"/>
        <v>129808.6</v>
      </c>
      <c r="M17" s="2"/>
      <c r="N17" s="19">
        <f t="shared" si="1"/>
        <v>18.04814837987584</v>
      </c>
      <c r="O17" s="11"/>
      <c r="P17" s="2">
        <f>--274171.12</f>
        <v>274171.12</v>
      </c>
      <c r="Q17" s="2"/>
      <c r="R17" s="19"/>
      <c r="S17" s="2"/>
      <c r="T17" s="2">
        <f>--13936.26</f>
        <v>13936.26</v>
      </c>
      <c r="U17" s="2"/>
      <c r="V17" s="19"/>
      <c r="W17" s="2"/>
      <c r="X17" s="2">
        <f t="shared" si="2"/>
        <v>260234.86</v>
      </c>
      <c r="Y17" s="2"/>
      <c r="Z17" s="19">
        <f t="shared" si="3"/>
        <v>18.673220792379016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256</v>
      </c>
      <c r="C19" s="10"/>
      <c r="D19" s="4">
        <f>SUM(OSRRefD16x_0)</f>
        <v>77772.61</v>
      </c>
      <c r="E19" s="4"/>
      <c r="F19" s="12">
        <f t="shared" ref="F19:F21" si="5">IF(D$12=0,0,D19/D$12)</f>
        <v>0.43077760308585267</v>
      </c>
      <c r="G19" s="4"/>
      <c r="H19" s="4">
        <f>SUM(OSRRefH16x_0)</f>
        <v>5796.07</v>
      </c>
      <c r="I19" s="4"/>
      <c r="J19" s="12">
        <f t="shared" ref="J19:J21" si="6">IF(H$12=0,0,H19/H$12)</f>
        <v>0.13317900135337274</v>
      </c>
      <c r="K19" s="4"/>
      <c r="L19" s="4">
        <f t="shared" ref="L19:L21" si="7">+D19-H19</f>
        <v>71976.540000000008</v>
      </c>
      <c r="M19" s="4"/>
      <c r="N19" s="12">
        <f t="shared" ref="N19:N21" si="8">IF(H19=0,0,L19/H19)</f>
        <v>12.418162651589785</v>
      </c>
      <c r="O19" s="10"/>
      <c r="P19" s="4">
        <f>SUM(OSRRefP16x_0)</f>
        <v>148122.07</v>
      </c>
      <c r="Q19" s="4"/>
      <c r="R19" s="12">
        <f t="shared" ref="R19:R21" si="9">IF(P$12=0,0,P19/P$12)</f>
        <v>0.38705848883680333</v>
      </c>
      <c r="S19" s="4"/>
      <c r="T19" s="4">
        <f>SUM(OSRRefT16x_0)</f>
        <v>11812.47</v>
      </c>
      <c r="U19" s="4"/>
      <c r="V19" s="12">
        <f t="shared" ref="V19:V21" si="10">IF(T$12=0,0,T19/T$12)</f>
        <v>0.20404180859663787</v>
      </c>
      <c r="W19" s="4"/>
      <c r="X19" s="4">
        <f t="shared" ref="X19:X21" si="11">+P19-T19</f>
        <v>136309.6</v>
      </c>
      <c r="Y19" s="4"/>
      <c r="Z19" s="12">
        <f t="shared" ref="Z19:Z21" si="12">IF(T19=0,0,X19/T19)</f>
        <v>11.539466343618228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69862.070000000007</v>
      </c>
      <c r="E20" s="2"/>
      <c r="F20" s="19">
        <f t="shared" si="5"/>
        <v>0.38696161876547613</v>
      </c>
      <c r="G20" s="2"/>
      <c r="H20" s="2">
        <v>4199.07</v>
      </c>
      <c r="I20" s="2"/>
      <c r="J20" s="19">
        <f t="shared" si="6"/>
        <v>9.6483988152818514E-2</v>
      </c>
      <c r="K20" s="2"/>
      <c r="L20" s="2">
        <f t="shared" si="7"/>
        <v>65663</v>
      </c>
      <c r="M20" s="2"/>
      <c r="N20" s="19">
        <f t="shared" si="8"/>
        <v>15.637510210594252</v>
      </c>
      <c r="O20" s="11"/>
      <c r="P20" s="2">
        <v>154360.93</v>
      </c>
      <c r="Q20" s="2"/>
      <c r="R20" s="19">
        <f t="shared" si="9"/>
        <v>0.40336128371176266</v>
      </c>
      <c r="S20" s="2"/>
      <c r="T20" s="2">
        <v>9629.41</v>
      </c>
      <c r="U20" s="2"/>
      <c r="V20" s="19">
        <f t="shared" si="10"/>
        <v>0.16633288652741982</v>
      </c>
      <c r="W20" s="2"/>
      <c r="X20" s="2">
        <f t="shared" si="11"/>
        <v>144731.51999999999</v>
      </c>
      <c r="Y20" s="2"/>
      <c r="Z20" s="19">
        <f t="shared" si="12"/>
        <v>15.030154495446761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7910.54</v>
      </c>
      <c r="E21" s="2"/>
      <c r="F21" s="19">
        <f t="shared" si="5"/>
        <v>4.3815984320376554E-2</v>
      </c>
      <c r="G21" s="2"/>
      <c r="H21" s="2">
        <v>1597</v>
      </c>
      <c r="I21" s="2"/>
      <c r="J21" s="19">
        <f t="shared" si="6"/>
        <v>3.6695013200554218E-2</v>
      </c>
      <c r="K21" s="2"/>
      <c r="L21" s="2">
        <f t="shared" si="7"/>
        <v>6313.54</v>
      </c>
      <c r="M21" s="2"/>
      <c r="N21" s="19">
        <f t="shared" si="8"/>
        <v>3.9533750782717596</v>
      </c>
      <c r="O21" s="11"/>
      <c r="P21" s="2">
        <v>-6238.86</v>
      </c>
      <c r="Q21" s="2"/>
      <c r="R21" s="19">
        <f t="shared" si="9"/>
        <v>-1.6302794874959406E-2</v>
      </c>
      <c r="S21" s="2"/>
      <c r="T21" s="2">
        <v>2183.06</v>
      </c>
      <c r="U21" s="2"/>
      <c r="V21" s="19">
        <f t="shared" si="10"/>
        <v>3.7708922069218061E-2</v>
      </c>
      <c r="W21" s="2"/>
      <c r="X21" s="2">
        <f t="shared" si="11"/>
        <v>-8421.92</v>
      </c>
      <c r="Y21" s="2"/>
      <c r="Z21" s="19">
        <f t="shared" si="12"/>
        <v>-3.8578509065257025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107</v>
      </c>
      <c r="C23" s="26"/>
      <c r="D23" s="22">
        <f>D12-D19</f>
        <v>102767.44000000002</v>
      </c>
      <c r="E23" s="13"/>
      <c r="F23" s="20">
        <f>IF(D$12=0,0,D23/D$12)</f>
        <v>0.56922239691414733</v>
      </c>
      <c r="G23" s="13"/>
      <c r="H23" s="22">
        <f>H12-H19</f>
        <v>37724.83</v>
      </c>
      <c r="I23" s="13"/>
      <c r="J23" s="20">
        <f>IF(H$12=0,0,H23/H$12)</f>
        <v>0.86682099864662732</v>
      </c>
      <c r="K23" s="15"/>
      <c r="L23" s="22">
        <f>+D23-H23</f>
        <v>65042.610000000015</v>
      </c>
      <c r="M23" s="15"/>
      <c r="N23" s="20">
        <f>IF(H23=0,0,L23/H23)</f>
        <v>1.7241326203458045</v>
      </c>
      <c r="O23" s="25"/>
      <c r="P23" s="22">
        <f>P12-P19</f>
        <v>234564.46000000002</v>
      </c>
      <c r="Q23" s="13"/>
      <c r="R23" s="20">
        <f>IF(P$12=0,0,P23/P$12)</f>
        <v>0.61294151116319673</v>
      </c>
      <c r="S23" s="13"/>
      <c r="T23" s="22">
        <f>T12-T19</f>
        <v>46079.930000000008</v>
      </c>
      <c r="U23" s="13"/>
      <c r="V23" s="20">
        <f>IF(T$12=0,0,T23/T$12)</f>
        <v>0.7959581914033621</v>
      </c>
      <c r="W23" s="15"/>
      <c r="X23" s="22">
        <f>+P23-T23</f>
        <v>188484.53000000003</v>
      </c>
      <c r="Y23" s="15"/>
      <c r="Z23" s="20">
        <f>IF(T23=0,0,X23/T23)</f>
        <v>4.0903822987578327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294</v>
      </c>
      <c r="C25" s="10"/>
      <c r="D25" s="21">
        <f>SUM(OSRRefD22x_0)</f>
        <v>209534.14999999994</v>
      </c>
      <c r="E25" s="21"/>
      <c r="F25" s="36">
        <f t="shared" ref="F25:F34" si="13">IF(D$12=0,0,D25/D$12)</f>
        <v>1.1605964992255176</v>
      </c>
      <c r="G25" s="21"/>
      <c r="H25" s="21">
        <f>SUM(OSRRefH22x_0)</f>
        <v>117574.27000000002</v>
      </c>
      <c r="I25" s="21"/>
      <c r="J25" s="36">
        <f t="shared" ref="J25:J34" si="14">IF(H$12=0,0,H25/H$12)</f>
        <v>2.7015587912933787</v>
      </c>
      <c r="K25" s="4"/>
      <c r="L25" s="21">
        <f t="shared" ref="L25:L34" si="15">+D25-H25</f>
        <v>91959.879999999917</v>
      </c>
      <c r="M25" s="4"/>
      <c r="N25" s="36">
        <f t="shared" ref="N25:N34" si="16">IF(H25=0,0,L25/H25)</f>
        <v>0.78214289572029583</v>
      </c>
      <c r="O25" s="10"/>
      <c r="P25" s="21">
        <f>SUM(OSRRefP22x_0)</f>
        <v>730624.46</v>
      </c>
      <c r="Q25" s="21"/>
      <c r="R25" s="36">
        <f t="shared" ref="R25:R34" si="17">IF(P$12=0,0,P25/P$12)</f>
        <v>1.909198267312936</v>
      </c>
      <c r="S25" s="21"/>
      <c r="T25" s="21">
        <f>SUM(OSRRefT22x_0)</f>
        <v>447356.03000000014</v>
      </c>
      <c r="U25" s="21"/>
      <c r="V25" s="36">
        <f t="shared" ref="V25:V34" si="18">IF(T$12=0,0,T25/T$12)</f>
        <v>7.72737060477714</v>
      </c>
      <c r="W25" s="4"/>
      <c r="X25" s="21">
        <f t="shared" ref="X25:X34" si="19">+P25-T25</f>
        <v>283268.42999999982</v>
      </c>
      <c r="Y25" s="4"/>
      <c r="Z25" s="36">
        <f t="shared" ref="Z25:Z34" si="20">IF(T25=0,0,X25/T25)</f>
        <v>0.63320579360470386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35927.879999999997</v>
      </c>
      <c r="E26" s="1"/>
      <c r="F26" s="5">
        <f t="shared" si="13"/>
        <v>0.19900227124120101</v>
      </c>
      <c r="G26" s="1"/>
      <c r="H26" s="1">
        <f>SUM(OSRRefH22_0x_0)</f>
        <v>23261.620000000003</v>
      </c>
      <c r="I26" s="1"/>
      <c r="J26" s="5">
        <f t="shared" si="14"/>
        <v>0.53449308263386097</v>
      </c>
      <c r="K26" s="1"/>
      <c r="L26" s="1">
        <f t="shared" si="15"/>
        <v>12666.259999999995</v>
      </c>
      <c r="M26" s="1"/>
      <c r="N26" s="5">
        <f t="shared" si="16"/>
        <v>0.54451323682529396</v>
      </c>
      <c r="O26" s="14"/>
      <c r="P26" s="1">
        <f>SUM(OSRRefP22_0x_0)</f>
        <v>117736.49</v>
      </c>
      <c r="Q26" s="1"/>
      <c r="R26" s="5">
        <f t="shared" si="17"/>
        <v>0.30765778455802978</v>
      </c>
      <c r="S26" s="1"/>
      <c r="T26" s="1">
        <f>SUM(OSRRefT22_0x_0)</f>
        <v>92093</v>
      </c>
      <c r="U26" s="1"/>
      <c r="V26" s="5">
        <f t="shared" si="18"/>
        <v>1.5907614816452589</v>
      </c>
      <c r="W26" s="1"/>
      <c r="X26" s="1">
        <f t="shared" si="19"/>
        <v>25643.490000000005</v>
      </c>
      <c r="Y26" s="1"/>
      <c r="Z26" s="5">
        <f t="shared" si="20"/>
        <v>0.2784521081949769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6">
        <v>6021.07</v>
      </c>
      <c r="E27" s="2"/>
      <c r="F27" s="7">
        <f t="shared" si="13"/>
        <v>3.3350328638991733E-2</v>
      </c>
      <c r="G27" s="2"/>
      <c r="H27" s="6">
        <v>4927.41</v>
      </c>
      <c r="I27" s="2"/>
      <c r="J27" s="7">
        <f t="shared" si="14"/>
        <v>0.11321939573859915</v>
      </c>
      <c r="K27" s="2"/>
      <c r="L27" s="6">
        <f t="shared" si="15"/>
        <v>1093.6599999999999</v>
      </c>
      <c r="M27" s="2"/>
      <c r="N27" s="7">
        <f t="shared" si="16"/>
        <v>0.22195433300658965</v>
      </c>
      <c r="O27" s="11"/>
      <c r="P27" s="6">
        <v>17780.62</v>
      </c>
      <c r="Q27" s="2"/>
      <c r="R27" s="7">
        <f t="shared" si="17"/>
        <v>4.6462623076908398E-2</v>
      </c>
      <c r="S27" s="2"/>
      <c r="T27" s="6">
        <v>12347.79</v>
      </c>
      <c r="U27" s="2"/>
      <c r="V27" s="7">
        <f t="shared" si="18"/>
        <v>0.21328861819513439</v>
      </c>
      <c r="W27" s="2"/>
      <c r="X27" s="6">
        <f t="shared" si="19"/>
        <v>5432.8299999999981</v>
      </c>
      <c r="Y27" s="2"/>
      <c r="Z27" s="7">
        <f t="shared" si="20"/>
        <v>0.43998399713632946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3095.01</v>
      </c>
      <c r="E28" s="2"/>
      <c r="F28" s="7">
        <f t="shared" si="13"/>
        <v>1.7143066039917457E-2</v>
      </c>
      <c r="G28" s="2"/>
      <c r="H28" s="6">
        <v>656.61</v>
      </c>
      <c r="I28" s="2"/>
      <c r="J28" s="7">
        <f t="shared" si="14"/>
        <v>1.5087233949665563E-2</v>
      </c>
      <c r="K28" s="2"/>
      <c r="L28" s="6">
        <f t="shared" si="15"/>
        <v>2438.4</v>
      </c>
      <c r="M28" s="2"/>
      <c r="N28" s="7">
        <f t="shared" si="16"/>
        <v>3.7136199570521313</v>
      </c>
      <c r="O28" s="11"/>
      <c r="P28" s="6">
        <v>7961.36</v>
      </c>
      <c r="Q28" s="2"/>
      <c r="R28" s="7">
        <f t="shared" si="17"/>
        <v>2.0803867854977804E-2</v>
      </c>
      <c r="S28" s="2"/>
      <c r="T28" s="6">
        <v>2664.1</v>
      </c>
      <c r="U28" s="2"/>
      <c r="V28" s="7">
        <f t="shared" si="18"/>
        <v>4.6018130186345693E-2</v>
      </c>
      <c r="W28" s="2"/>
      <c r="X28" s="6">
        <f t="shared" si="19"/>
        <v>5297.26</v>
      </c>
      <c r="Y28" s="2"/>
      <c r="Z28" s="7">
        <f t="shared" si="20"/>
        <v>1.9883863218347662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6">
        <v>12571.1</v>
      </c>
      <c r="E29" s="2"/>
      <c r="F29" s="7">
        <f t="shared" si="13"/>
        <v>6.9630533502123212E-2</v>
      </c>
      <c r="G29" s="2"/>
      <c r="H29" s="6">
        <v>8662.99</v>
      </c>
      <c r="I29" s="2"/>
      <c r="J29" s="7">
        <f t="shared" si="14"/>
        <v>0.19905355817549727</v>
      </c>
      <c r="K29" s="2"/>
      <c r="L29" s="6">
        <f t="shared" si="15"/>
        <v>3908.1100000000006</v>
      </c>
      <c r="M29" s="2"/>
      <c r="N29" s="7">
        <f t="shared" si="16"/>
        <v>0.45112715124916464</v>
      </c>
      <c r="O29" s="11"/>
      <c r="P29" s="6">
        <v>49720.88</v>
      </c>
      <c r="Q29" s="2"/>
      <c r="R29" s="7">
        <f t="shared" si="17"/>
        <v>0.12992586909186479</v>
      </c>
      <c r="S29" s="2"/>
      <c r="T29" s="6">
        <v>43605.87</v>
      </c>
      <c r="U29" s="2"/>
      <c r="V29" s="7">
        <f t="shared" si="18"/>
        <v>0.75322270280727688</v>
      </c>
      <c r="W29" s="2"/>
      <c r="X29" s="6">
        <f t="shared" si="19"/>
        <v>6115.0099999999948</v>
      </c>
      <c r="Y29" s="2"/>
      <c r="Z29" s="7">
        <f t="shared" si="20"/>
        <v>0.14023364285588144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267.12</v>
      </c>
      <c r="E30" s="2"/>
      <c r="F30" s="7">
        <f t="shared" si="13"/>
        <v>1.4795609062919833E-3</v>
      </c>
      <c r="G30" s="2"/>
      <c r="H30" s="6">
        <v>81.11</v>
      </c>
      <c r="I30" s="2"/>
      <c r="J30" s="7">
        <f t="shared" si="14"/>
        <v>1.86370226718657E-3</v>
      </c>
      <c r="K30" s="2"/>
      <c r="L30" s="6">
        <f t="shared" si="15"/>
        <v>186.01</v>
      </c>
      <c r="M30" s="2"/>
      <c r="N30" s="7">
        <f t="shared" si="16"/>
        <v>2.2933053877450376</v>
      </c>
      <c r="O30" s="11"/>
      <c r="P30" s="6">
        <v>706.61</v>
      </c>
      <c r="Q30" s="2"/>
      <c r="R30" s="7">
        <f t="shared" si="17"/>
        <v>1.8464459671470536E-3</v>
      </c>
      <c r="S30" s="2"/>
      <c r="T30" s="6">
        <v>339.04</v>
      </c>
      <c r="U30" s="2"/>
      <c r="V30" s="7">
        <f t="shared" si="18"/>
        <v>5.8563818394124266E-3</v>
      </c>
      <c r="W30" s="2"/>
      <c r="X30" s="6">
        <f t="shared" si="19"/>
        <v>367.57</v>
      </c>
      <c r="Y30" s="2"/>
      <c r="Z30" s="7">
        <f t="shared" si="20"/>
        <v>1.0841493629070316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6">
        <v>4728.7700000000004</v>
      </c>
      <c r="E31" s="2"/>
      <c r="F31" s="7">
        <f t="shared" si="13"/>
        <v>2.6192360088523294E-2</v>
      </c>
      <c r="G31" s="2"/>
      <c r="H31" s="6">
        <v>2662.31</v>
      </c>
      <c r="I31" s="2"/>
      <c r="J31" s="7">
        <f t="shared" si="14"/>
        <v>6.1173137504049777E-2</v>
      </c>
      <c r="K31" s="2"/>
      <c r="L31" s="6">
        <f t="shared" si="15"/>
        <v>2066.4600000000005</v>
      </c>
      <c r="M31" s="2"/>
      <c r="N31" s="7">
        <f t="shared" si="16"/>
        <v>0.77619060139502938</v>
      </c>
      <c r="O31" s="11"/>
      <c r="P31" s="6">
        <v>14022.82</v>
      </c>
      <c r="Q31" s="2"/>
      <c r="R31" s="7">
        <f t="shared" si="17"/>
        <v>3.664309794232893E-2</v>
      </c>
      <c r="S31" s="2"/>
      <c r="T31" s="6">
        <v>12807.81</v>
      </c>
      <c r="U31" s="2"/>
      <c r="V31" s="7">
        <f t="shared" si="18"/>
        <v>0.22123473892946219</v>
      </c>
      <c r="W31" s="2"/>
      <c r="X31" s="6">
        <f t="shared" si="19"/>
        <v>1215.0100000000002</v>
      </c>
      <c r="Y31" s="2"/>
      <c r="Z31" s="7">
        <f t="shared" si="20"/>
        <v>9.4864773915290773E-2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6">
        <v>4487.97</v>
      </c>
      <c r="E32" s="2"/>
      <c r="F32" s="7">
        <f t="shared" si="13"/>
        <v>2.4858584009476013E-2</v>
      </c>
      <c r="G32" s="2"/>
      <c r="H32" s="6">
        <v>3600.57</v>
      </c>
      <c r="I32" s="2"/>
      <c r="J32" s="7">
        <f t="shared" si="14"/>
        <v>8.2731974752360354E-2</v>
      </c>
      <c r="K32" s="2"/>
      <c r="L32" s="6">
        <f t="shared" si="15"/>
        <v>887.40000000000009</v>
      </c>
      <c r="M32" s="2"/>
      <c r="N32" s="7">
        <f t="shared" si="16"/>
        <v>0.24646097701197311</v>
      </c>
      <c r="O32" s="11"/>
      <c r="P32" s="6">
        <v>13399.15</v>
      </c>
      <c r="Q32" s="2"/>
      <c r="R32" s="7">
        <f t="shared" si="17"/>
        <v>3.501338288546503E-2</v>
      </c>
      <c r="S32" s="2"/>
      <c r="T32" s="6">
        <v>11284.54</v>
      </c>
      <c r="U32" s="2"/>
      <c r="V32" s="7">
        <f t="shared" si="18"/>
        <v>0.19492264960512951</v>
      </c>
      <c r="W32" s="2"/>
      <c r="X32" s="6">
        <f t="shared" si="19"/>
        <v>2114.6099999999988</v>
      </c>
      <c r="Y32" s="2"/>
      <c r="Z32" s="7">
        <f t="shared" si="20"/>
        <v>0.18739000437767056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6">
        <v>2900.7</v>
      </c>
      <c r="E33" s="2"/>
      <c r="F33" s="7">
        <f t="shared" si="13"/>
        <v>1.6066795151546704E-2</v>
      </c>
      <c r="G33" s="2"/>
      <c r="H33" s="6">
        <v>2052.15</v>
      </c>
      <c r="I33" s="2"/>
      <c r="J33" s="7">
        <f t="shared" si="14"/>
        <v>4.7153206850042165E-2</v>
      </c>
      <c r="K33" s="2"/>
      <c r="L33" s="6">
        <f t="shared" si="15"/>
        <v>848.54999999999973</v>
      </c>
      <c r="M33" s="2"/>
      <c r="N33" s="7">
        <f t="shared" si="16"/>
        <v>0.41349316570426126</v>
      </c>
      <c r="O33" s="11"/>
      <c r="P33" s="6">
        <v>8633.9699999999993</v>
      </c>
      <c r="Q33" s="2"/>
      <c r="R33" s="7">
        <f t="shared" si="17"/>
        <v>2.2561468259674568E-2</v>
      </c>
      <c r="S33" s="2"/>
      <c r="T33" s="6">
        <v>6623.36</v>
      </c>
      <c r="U33" s="2"/>
      <c r="V33" s="7">
        <f t="shared" si="18"/>
        <v>0.114408108836393</v>
      </c>
      <c r="W33" s="2"/>
      <c r="X33" s="6">
        <f t="shared" si="19"/>
        <v>2010.6099999999997</v>
      </c>
      <c r="Y33" s="2"/>
      <c r="Z33" s="7">
        <f t="shared" si="20"/>
        <v>0.30356344815924241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6">
        <v>1856.14</v>
      </c>
      <c r="E34" s="2"/>
      <c r="F34" s="7">
        <f t="shared" si="13"/>
        <v>1.0281042904330646E-2</v>
      </c>
      <c r="G34" s="2"/>
      <c r="H34" s="6">
        <v>618.47</v>
      </c>
      <c r="I34" s="2"/>
      <c r="J34" s="7">
        <f t="shared" si="14"/>
        <v>1.4210873396460091E-2</v>
      </c>
      <c r="K34" s="2"/>
      <c r="L34" s="6">
        <f t="shared" si="15"/>
        <v>1237.67</v>
      </c>
      <c r="M34" s="2"/>
      <c r="N34" s="7">
        <f t="shared" si="16"/>
        <v>2.0011803321098842</v>
      </c>
      <c r="O34" s="11"/>
      <c r="P34" s="6">
        <v>5511.08</v>
      </c>
      <c r="Q34" s="2"/>
      <c r="R34" s="7">
        <f t="shared" si="17"/>
        <v>1.4401029479663157E-2</v>
      </c>
      <c r="S34" s="2"/>
      <c r="T34" s="6">
        <v>2420.4899999999998</v>
      </c>
      <c r="U34" s="2"/>
      <c r="V34" s="7">
        <f t="shared" si="18"/>
        <v>4.1810151246104835E-2</v>
      </c>
      <c r="W34" s="2"/>
      <c r="X34" s="6">
        <f t="shared" si="19"/>
        <v>3090.59</v>
      </c>
      <c r="Y34" s="2"/>
      <c r="Z34" s="7">
        <f t="shared" si="20"/>
        <v>1.2768447711000668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80221</v>
      </c>
      <c r="E35" s="1"/>
      <c r="F35" s="5">
        <f t="shared" ref="F35:F40" si="21">IF(D$12=0,0,D35/D$12)</f>
        <v>0.44433908155004936</v>
      </c>
      <c r="G35" s="1"/>
      <c r="H35" s="1">
        <f>SUM(OSRRefH22_1x_0)</f>
        <v>31757.64</v>
      </c>
      <c r="I35" s="1"/>
      <c r="J35" s="5">
        <f t="shared" ref="J35:J40" si="22">IF(H$12=0,0,H35/H$12)</f>
        <v>0.72971009331148939</v>
      </c>
      <c r="K35" s="1"/>
      <c r="L35" s="1">
        <f t="shared" ref="L35:L40" si="23">+D35-H35</f>
        <v>48463.360000000001</v>
      </c>
      <c r="M35" s="1"/>
      <c r="N35" s="5">
        <f t="shared" ref="N35:N40" si="24">IF(H35=0,0,L35/H35)</f>
        <v>1.5260378290074452</v>
      </c>
      <c r="O35" s="14"/>
      <c r="P35" s="1">
        <f>SUM(OSRRefP22_1x_0)</f>
        <v>260519.22</v>
      </c>
      <c r="Q35" s="1"/>
      <c r="R35" s="5">
        <f t="shared" ref="R35:R40" si="25">IF(P$12=0,0,P35/P$12)</f>
        <v>0.680764018529735</v>
      </c>
      <c r="S35" s="1"/>
      <c r="T35" s="1">
        <f>SUM(OSRRefT22_1x_0)</f>
        <v>128945.52000000002</v>
      </c>
      <c r="U35" s="1"/>
      <c r="V35" s="5">
        <f t="shared" ref="V35:V40" si="26">IF(T$12=0,0,T35/T$12)</f>
        <v>2.2273307031665643</v>
      </c>
      <c r="W35" s="1"/>
      <c r="X35" s="1">
        <f t="shared" ref="X35:X40" si="27">+P35-T35</f>
        <v>131573.69999999998</v>
      </c>
      <c r="Y35" s="1"/>
      <c r="Z35" s="5">
        <f t="shared" ref="Z35:Z40" si="28">IF(T35=0,0,X35/T35)</f>
        <v>1.0203820962527428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6">
        <v>10516.14</v>
      </c>
      <c r="E36" s="2"/>
      <c r="F36" s="7">
        <f t="shared" si="21"/>
        <v>5.82482391026257E-2</v>
      </c>
      <c r="G36" s="2"/>
      <c r="H36" s="6">
        <v>10516.14</v>
      </c>
      <c r="I36" s="2"/>
      <c r="J36" s="7">
        <f t="shared" si="22"/>
        <v>0.24163424929171959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43723.66</v>
      </c>
      <c r="Q36" s="2"/>
      <c r="R36" s="7">
        <f t="shared" si="25"/>
        <v>0.11425450485544919</v>
      </c>
      <c r="S36" s="2"/>
      <c r="T36" s="6">
        <v>43862.03</v>
      </c>
      <c r="U36" s="2"/>
      <c r="V36" s="7">
        <f t="shared" si="26"/>
        <v>0.75764746322487908</v>
      </c>
      <c r="W36" s="2"/>
      <c r="X36" s="6">
        <f t="shared" si="27"/>
        <v>-138.36999999999534</v>
      </c>
      <c r="Y36" s="2"/>
      <c r="Z36" s="7">
        <f t="shared" si="28"/>
        <v>-3.1546647521784868E-3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6">
        <v>25037.65</v>
      </c>
      <c r="E37" s="2"/>
      <c r="F37" s="7">
        <f t="shared" si="21"/>
        <v>0.13868197111942751</v>
      </c>
      <c r="G37" s="2"/>
      <c r="H37" s="6">
        <v>16649.23</v>
      </c>
      <c r="I37" s="2"/>
      <c r="J37" s="7">
        <f t="shared" si="22"/>
        <v>0.38255711623610722</v>
      </c>
      <c r="K37" s="2"/>
      <c r="L37" s="6">
        <f t="shared" si="23"/>
        <v>8388.4200000000019</v>
      </c>
      <c r="M37" s="2"/>
      <c r="N37" s="7">
        <f t="shared" si="24"/>
        <v>0.5038323093620547</v>
      </c>
      <c r="O37" s="11"/>
      <c r="P37" s="6">
        <v>89523</v>
      </c>
      <c r="Q37" s="2"/>
      <c r="R37" s="7">
        <f t="shared" si="25"/>
        <v>0.23393297903639304</v>
      </c>
      <c r="S37" s="2"/>
      <c r="T37" s="6">
        <v>67539.850000000006</v>
      </c>
      <c r="U37" s="2"/>
      <c r="V37" s="7">
        <f t="shared" si="26"/>
        <v>1.1666444991052365</v>
      </c>
      <c r="W37" s="2"/>
      <c r="X37" s="6">
        <f t="shared" si="27"/>
        <v>21983.149999999994</v>
      </c>
      <c r="Y37" s="2"/>
      <c r="Z37" s="7">
        <f t="shared" si="28"/>
        <v>0.32548414010395332</v>
      </c>
    </row>
    <row r="38" spans="1:26" s="24" customFormat="1" hidden="1" outlineLevel="2" x14ac:dyDescent="0.25">
      <c r="A38" s="29"/>
      <c r="B38" s="11" t="str">
        <f>CONCATENATE("          ", "6004", " - ", "STAFF HOURLY")</f>
        <v xml:space="preserve">          6004 - STAFF HOURLY</v>
      </c>
      <c r="C38" s="11"/>
      <c r="D38" s="6">
        <v>11612.94</v>
      </c>
      <c r="E38" s="2"/>
      <c r="F38" s="7">
        <f t="shared" si="21"/>
        <v>6.4323345429449036E-2</v>
      </c>
      <c r="G38" s="2"/>
      <c r="H38" s="6">
        <v>4641.7</v>
      </c>
      <c r="I38" s="2"/>
      <c r="J38" s="7">
        <f t="shared" si="22"/>
        <v>0.1066545039279978</v>
      </c>
      <c r="K38" s="2"/>
      <c r="L38" s="6">
        <f t="shared" si="23"/>
        <v>6971.2400000000007</v>
      </c>
      <c r="M38" s="2"/>
      <c r="N38" s="7">
        <f t="shared" si="24"/>
        <v>1.5018721589072972</v>
      </c>
      <c r="O38" s="11"/>
      <c r="P38" s="6">
        <v>36350.97</v>
      </c>
      <c r="Q38" s="2"/>
      <c r="R38" s="7">
        <f t="shared" si="25"/>
        <v>9.4988893390107035E-2</v>
      </c>
      <c r="S38" s="2"/>
      <c r="T38" s="6">
        <v>15347.3</v>
      </c>
      <c r="U38" s="2"/>
      <c r="V38" s="7">
        <f t="shared" si="26"/>
        <v>0.26510042768999037</v>
      </c>
      <c r="W38" s="2"/>
      <c r="X38" s="6">
        <f t="shared" si="27"/>
        <v>21003.670000000002</v>
      </c>
      <c r="Y38" s="2"/>
      <c r="Z38" s="7">
        <f t="shared" si="28"/>
        <v>1.368557987398435</v>
      </c>
    </row>
    <row r="39" spans="1:26" s="24" customFormat="1" hidden="1" outlineLevel="2" x14ac:dyDescent="0.25">
      <c r="A39" s="29"/>
      <c r="B39" s="11" t="str">
        <f>CONCATENATE("          ", "6005", " - ", "TEMPORARY WAGES-HOURLY")</f>
        <v xml:space="preserve">          6005 - TEMPORARY WAGES-HOURLY</v>
      </c>
      <c r="C39" s="11"/>
      <c r="D39" s="6">
        <v>17018.73</v>
      </c>
      <c r="E39" s="2"/>
      <c r="F39" s="7">
        <f t="shared" si="21"/>
        <v>9.4265676784735561E-2</v>
      </c>
      <c r="G39" s="2"/>
      <c r="H39" s="6">
        <v>704.86</v>
      </c>
      <c r="I39" s="2"/>
      <c r="J39" s="7">
        <f t="shared" si="22"/>
        <v>1.6195896684121882E-2</v>
      </c>
      <c r="K39" s="2"/>
      <c r="L39" s="6">
        <f t="shared" si="23"/>
        <v>16313.869999999999</v>
      </c>
      <c r="M39" s="2"/>
      <c r="N39" s="7">
        <f t="shared" si="24"/>
        <v>23.144837272649887</v>
      </c>
      <c r="O39" s="11"/>
      <c r="P39" s="6">
        <v>43672.05</v>
      </c>
      <c r="Q39" s="2"/>
      <c r="R39" s="7">
        <f t="shared" si="25"/>
        <v>0.11411964251785919</v>
      </c>
      <c r="S39" s="2"/>
      <c r="T39" s="6">
        <v>2126.63</v>
      </c>
      <c r="U39" s="2"/>
      <c r="V39" s="7">
        <f t="shared" si="26"/>
        <v>3.6734182725193631E-2</v>
      </c>
      <c r="W39" s="2"/>
      <c r="X39" s="6">
        <f t="shared" si="27"/>
        <v>41545.420000000006</v>
      </c>
      <c r="Y39" s="2"/>
      <c r="Z39" s="7">
        <f t="shared" si="28"/>
        <v>19.535800773994538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6">
        <v>16035.54</v>
      </c>
      <c r="E40" s="2"/>
      <c r="F40" s="7">
        <f t="shared" si="21"/>
        <v>8.8819849113811591E-2</v>
      </c>
      <c r="G40" s="2"/>
      <c r="H40" s="6">
        <v>-754.29</v>
      </c>
      <c r="I40" s="2"/>
      <c r="J40" s="7">
        <f t="shared" si="22"/>
        <v>-1.7331672828457132E-2</v>
      </c>
      <c r="K40" s="2"/>
      <c r="L40" s="6">
        <f t="shared" si="23"/>
        <v>16789.830000000002</v>
      </c>
      <c r="M40" s="2"/>
      <c r="N40" s="7">
        <f t="shared" si="24"/>
        <v>-22.259117845921335</v>
      </c>
      <c r="O40" s="11"/>
      <c r="P40" s="6">
        <v>47249.54</v>
      </c>
      <c r="Q40" s="2"/>
      <c r="R40" s="7">
        <f t="shared" si="25"/>
        <v>0.12346799872992655</v>
      </c>
      <c r="S40" s="2"/>
      <c r="T40" s="6">
        <v>69.709999999999994</v>
      </c>
      <c r="U40" s="2"/>
      <c r="V40" s="7">
        <f t="shared" si="26"/>
        <v>1.2041304212642762E-3</v>
      </c>
      <c r="W40" s="2"/>
      <c r="X40" s="6">
        <f t="shared" si="27"/>
        <v>47179.83</v>
      </c>
      <c r="Y40" s="2"/>
      <c r="Z40" s="7">
        <f t="shared" si="28"/>
        <v>676.80146320470533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50.23</v>
      </c>
      <c r="E41" s="1"/>
      <c r="F41" s="5">
        <f t="shared" ref="F41:F49" si="29">IF(D$12=0,0,D41/D$12)</f>
        <v>2.7822081582452201E-4</v>
      </c>
      <c r="G41" s="1"/>
      <c r="H41" s="1">
        <f>SUM(OSRRefH22_2x_0)</f>
        <v>15.05</v>
      </c>
      <c r="I41" s="1"/>
      <c r="J41" s="5">
        <f t="shared" ref="J41:J49" si="30">IF(H$12=0,0,H41/H$12)</f>
        <v>3.4581086328637505E-4</v>
      </c>
      <c r="K41" s="1"/>
      <c r="L41" s="1">
        <f t="shared" ref="L41:L49" si="31">+D41-H41</f>
        <v>35.179999999999993</v>
      </c>
      <c r="M41" s="1"/>
      <c r="N41" s="5">
        <f t="shared" ref="N41:N49" si="32">IF(H41=0,0,L41/H41)</f>
        <v>2.337541528239202</v>
      </c>
      <c r="O41" s="14"/>
      <c r="P41" s="1">
        <f>SUM(OSRRefP22_2x_0)</f>
        <v>723.29</v>
      </c>
      <c r="Q41" s="1"/>
      <c r="R41" s="5">
        <f t="shared" ref="R41:R49" si="33">IF(P$12=0,0,P41/P$12)</f>
        <v>1.8900325548432549E-3</v>
      </c>
      <c r="S41" s="1"/>
      <c r="T41" s="1">
        <f>SUM(OSRRefT22_2x_0)</f>
        <v>110.63</v>
      </c>
      <c r="U41" s="1"/>
      <c r="V41" s="5">
        <f t="shared" ref="V41:V49" si="34">IF(T$12=0,0,T41/T$12)</f>
        <v>1.9109589514340393E-3</v>
      </c>
      <c r="W41" s="1"/>
      <c r="X41" s="1">
        <f t="shared" ref="X41:X49" si="35">+P41-T41</f>
        <v>612.66</v>
      </c>
      <c r="Y41" s="1"/>
      <c r="Z41" s="5">
        <f t="shared" ref="Z41:Z49" si="36">IF(T41=0,0,X41/T41)</f>
        <v>5.5379191900931035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>
        <v>50.23</v>
      </c>
      <c r="E42" s="2"/>
      <c r="F42" s="7">
        <f t="shared" si="29"/>
        <v>2.7822081582452201E-4</v>
      </c>
      <c r="G42" s="2"/>
      <c r="H42" s="6">
        <v>15.05</v>
      </c>
      <c r="I42" s="2"/>
      <c r="J42" s="7">
        <f t="shared" si="30"/>
        <v>3.4581086328637505E-4</v>
      </c>
      <c r="K42" s="2"/>
      <c r="L42" s="6">
        <f t="shared" si="31"/>
        <v>35.179999999999993</v>
      </c>
      <c r="M42" s="2"/>
      <c r="N42" s="7">
        <f t="shared" si="32"/>
        <v>2.337541528239202</v>
      </c>
      <c r="O42" s="11"/>
      <c r="P42" s="6">
        <v>723.29</v>
      </c>
      <c r="Q42" s="2"/>
      <c r="R42" s="7">
        <f t="shared" si="33"/>
        <v>1.8900325548432549E-3</v>
      </c>
      <c r="S42" s="2"/>
      <c r="T42" s="6">
        <v>110.63</v>
      </c>
      <c r="U42" s="2"/>
      <c r="V42" s="7">
        <f t="shared" si="34"/>
        <v>1.9109589514340393E-3</v>
      </c>
      <c r="W42" s="2"/>
      <c r="X42" s="6">
        <f t="shared" si="35"/>
        <v>612.66</v>
      </c>
      <c r="Y42" s="2"/>
      <c r="Z42" s="7">
        <f t="shared" si="36"/>
        <v>5.5379191900931035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4.1900000000000004</v>
      </c>
      <c r="E43" s="1"/>
      <c r="F43" s="5">
        <f t="shared" si="29"/>
        <v>2.3208146890399111E-5</v>
      </c>
      <c r="G43" s="1"/>
      <c r="H43" s="1">
        <f>SUM(OSRRefH22_3x_0)</f>
        <v>1531.8</v>
      </c>
      <c r="I43" s="1"/>
      <c r="J43" s="5">
        <f t="shared" si="30"/>
        <v>3.5196882417413242E-2</v>
      </c>
      <c r="K43" s="1"/>
      <c r="L43" s="1">
        <f t="shared" si="31"/>
        <v>-1527.61</v>
      </c>
      <c r="M43" s="1"/>
      <c r="N43" s="5">
        <f t="shared" si="32"/>
        <v>-0.99726465596030811</v>
      </c>
      <c r="O43" s="14"/>
      <c r="P43" s="1">
        <f>SUM(OSRRefP22_3x_0)</f>
        <v>-111.1</v>
      </c>
      <c r="Q43" s="1"/>
      <c r="R43" s="5">
        <f t="shared" si="33"/>
        <v>-2.9031594083021417E-4</v>
      </c>
      <c r="S43" s="1"/>
      <c r="T43" s="1">
        <f>SUM(OSRRefT22_3x_0)</f>
        <v>1338.28</v>
      </c>
      <c r="U43" s="1"/>
      <c r="V43" s="5">
        <f t="shared" si="34"/>
        <v>2.311667852775148E-2</v>
      </c>
      <c r="W43" s="1"/>
      <c r="X43" s="1">
        <f t="shared" si="35"/>
        <v>-1449.3799999999999</v>
      </c>
      <c r="Y43" s="1"/>
      <c r="Z43" s="5">
        <f t="shared" si="36"/>
        <v>-1.0830170069043847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6">
        <v>4.1900000000000004</v>
      </c>
      <c r="E44" s="2"/>
      <c r="F44" s="7">
        <f t="shared" si="29"/>
        <v>2.3208146890399111E-5</v>
      </c>
      <c r="G44" s="2"/>
      <c r="H44" s="6">
        <v>1531.8</v>
      </c>
      <c r="I44" s="2"/>
      <c r="J44" s="7">
        <f t="shared" si="30"/>
        <v>3.5196882417413242E-2</v>
      </c>
      <c r="K44" s="2"/>
      <c r="L44" s="6">
        <f t="shared" si="31"/>
        <v>-1527.61</v>
      </c>
      <c r="M44" s="2"/>
      <c r="N44" s="7">
        <f t="shared" si="32"/>
        <v>-0.99726465596030811</v>
      </c>
      <c r="O44" s="11"/>
      <c r="P44" s="6">
        <v>-111.1</v>
      </c>
      <c r="Q44" s="2"/>
      <c r="R44" s="7">
        <f t="shared" si="33"/>
        <v>-2.9031594083021417E-4</v>
      </c>
      <c r="S44" s="2"/>
      <c r="T44" s="6">
        <v>1338.28</v>
      </c>
      <c r="U44" s="2"/>
      <c r="V44" s="7">
        <f t="shared" si="34"/>
        <v>2.311667852775148E-2</v>
      </c>
      <c r="W44" s="2"/>
      <c r="X44" s="6">
        <f t="shared" si="35"/>
        <v>-1449.3799999999999</v>
      </c>
      <c r="Y44" s="2"/>
      <c r="Z44" s="7">
        <f t="shared" si="36"/>
        <v>-1.0830170069043847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6282.4</v>
      </c>
      <c r="E45" s="1"/>
      <c r="F45" s="5">
        <f t="shared" si="29"/>
        <v>3.4797819098864764E-2</v>
      </c>
      <c r="G45" s="1"/>
      <c r="H45" s="1">
        <f>SUM(OSRRefH22_4x_0)</f>
        <v>758.49</v>
      </c>
      <c r="I45" s="1"/>
      <c r="J45" s="5">
        <f t="shared" si="30"/>
        <v>1.7428178185653329E-2</v>
      </c>
      <c r="K45" s="1"/>
      <c r="L45" s="1">
        <f t="shared" si="31"/>
        <v>5523.91</v>
      </c>
      <c r="M45" s="1"/>
      <c r="N45" s="5">
        <f t="shared" si="32"/>
        <v>7.2827723503276243</v>
      </c>
      <c r="O45" s="14"/>
      <c r="P45" s="1">
        <f>SUM(OSRRefP22_4x_0)</f>
        <v>14329.11</v>
      </c>
      <c r="Q45" s="1"/>
      <c r="R45" s="5">
        <f t="shared" si="33"/>
        <v>3.7443465804767151E-2</v>
      </c>
      <c r="S45" s="1"/>
      <c r="T45" s="1">
        <f>SUM(OSRRefT22_4x_0)</f>
        <v>1867.81</v>
      </c>
      <c r="U45" s="1"/>
      <c r="V45" s="5">
        <f t="shared" si="34"/>
        <v>3.2263474998445389E-2</v>
      </c>
      <c r="W45" s="1"/>
      <c r="X45" s="1">
        <f t="shared" si="35"/>
        <v>12461.300000000001</v>
      </c>
      <c r="Y45" s="1"/>
      <c r="Z45" s="5">
        <f t="shared" si="36"/>
        <v>6.671610067405144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6">
        <v>6282.4</v>
      </c>
      <c r="E46" s="2"/>
      <c r="F46" s="7">
        <f t="shared" si="29"/>
        <v>3.4797819098864764E-2</v>
      </c>
      <c r="G46" s="2"/>
      <c r="H46" s="6">
        <v>758.49</v>
      </c>
      <c r="I46" s="2"/>
      <c r="J46" s="7">
        <f t="shared" si="30"/>
        <v>1.7428178185653329E-2</v>
      </c>
      <c r="K46" s="2"/>
      <c r="L46" s="6">
        <f t="shared" si="31"/>
        <v>5523.91</v>
      </c>
      <c r="M46" s="2"/>
      <c r="N46" s="7">
        <f t="shared" si="32"/>
        <v>7.2827723503276243</v>
      </c>
      <c r="O46" s="11"/>
      <c r="P46" s="6">
        <v>14329.11</v>
      </c>
      <c r="Q46" s="2"/>
      <c r="R46" s="7">
        <f t="shared" si="33"/>
        <v>3.7443465804767151E-2</v>
      </c>
      <c r="S46" s="2"/>
      <c r="T46" s="6">
        <v>1867.81</v>
      </c>
      <c r="U46" s="2"/>
      <c r="V46" s="7">
        <f t="shared" si="34"/>
        <v>3.2263474998445389E-2</v>
      </c>
      <c r="W46" s="2"/>
      <c r="X46" s="6">
        <f t="shared" si="35"/>
        <v>12461.300000000001</v>
      </c>
      <c r="Y46" s="2"/>
      <c r="Z46" s="7">
        <f t="shared" si="36"/>
        <v>6.671610067405144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32782.04</v>
      </c>
      <c r="E47" s="1"/>
      <c r="F47" s="5">
        <f t="shared" si="29"/>
        <v>0.18157766102313586</v>
      </c>
      <c r="G47" s="1"/>
      <c r="H47" s="1">
        <f>SUM(OSRRefH22_5x_0)</f>
        <v>36778.130000000005</v>
      </c>
      <c r="I47" s="1"/>
      <c r="J47" s="5">
        <f t="shared" si="30"/>
        <v>0.84506823158528444</v>
      </c>
      <c r="K47" s="1"/>
      <c r="L47" s="1">
        <f t="shared" si="31"/>
        <v>-3996.0900000000038</v>
      </c>
      <c r="M47" s="1"/>
      <c r="N47" s="5">
        <f t="shared" si="32"/>
        <v>-0.10865397452235889</v>
      </c>
      <c r="O47" s="14"/>
      <c r="P47" s="1">
        <f>SUM(OSRRefP22_5x_0)</f>
        <v>131216.29999999999</v>
      </c>
      <c r="Q47" s="1"/>
      <c r="R47" s="5">
        <f t="shared" si="33"/>
        <v>0.34288194047488418</v>
      </c>
      <c r="S47" s="1"/>
      <c r="T47" s="1">
        <f>SUM(OSRRefT22_5x_0)</f>
        <v>149706.56</v>
      </c>
      <c r="U47" s="1"/>
      <c r="V47" s="5">
        <f t="shared" si="34"/>
        <v>2.5859449599602016</v>
      </c>
      <c r="W47" s="1"/>
      <c r="X47" s="1">
        <f t="shared" si="35"/>
        <v>-18490.260000000009</v>
      </c>
      <c r="Y47" s="1"/>
      <c r="Z47" s="5">
        <f t="shared" si="36"/>
        <v>-0.1235100185322541</v>
      </c>
    </row>
    <row r="48" spans="1:26" s="24" customFormat="1" hidden="1" outlineLevel="2" x14ac:dyDescent="0.25">
      <c r="A48" s="29"/>
      <c r="B48" s="11" t="str">
        <f>CONCATENATE("          ", "6321", " - ", "BUILDING DEPRECIATION")</f>
        <v xml:space="preserve">          6321 - BUILDING DEPRECIATION</v>
      </c>
      <c r="C48" s="11"/>
      <c r="D48" s="6">
        <v>23539.4</v>
      </c>
      <c r="E48" s="2"/>
      <c r="F48" s="7">
        <f t="shared" si="29"/>
        <v>0.1303832584515181</v>
      </c>
      <c r="G48" s="2"/>
      <c r="H48" s="6">
        <v>23583.49</v>
      </c>
      <c r="I48" s="2"/>
      <c r="J48" s="7">
        <f t="shared" si="30"/>
        <v>0.54188883961498957</v>
      </c>
      <c r="K48" s="2"/>
      <c r="L48" s="6">
        <f t="shared" si="31"/>
        <v>-44.090000000000146</v>
      </c>
      <c r="M48" s="2"/>
      <c r="N48" s="7">
        <f t="shared" si="32"/>
        <v>-1.8695282165616769E-3</v>
      </c>
      <c r="O48" s="11"/>
      <c r="P48" s="6">
        <v>94245.74</v>
      </c>
      <c r="Q48" s="2"/>
      <c r="R48" s="7">
        <f t="shared" si="33"/>
        <v>0.24627399349540732</v>
      </c>
      <c r="S48" s="2"/>
      <c r="T48" s="6">
        <v>95118.15</v>
      </c>
      <c r="U48" s="2"/>
      <c r="V48" s="7">
        <f t="shared" si="34"/>
        <v>1.6430161817440627</v>
      </c>
      <c r="W48" s="2"/>
      <c r="X48" s="6">
        <f t="shared" si="35"/>
        <v>-872.40999999998894</v>
      </c>
      <c r="Y48" s="2"/>
      <c r="Z48" s="7">
        <f t="shared" si="36"/>
        <v>-9.1718562650765292E-3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9242.64</v>
      </c>
      <c r="E49" s="2"/>
      <c r="F49" s="7">
        <f t="shared" si="29"/>
        <v>5.119440257161776E-2</v>
      </c>
      <c r="G49" s="2"/>
      <c r="H49" s="6">
        <v>13194.64</v>
      </c>
      <c r="I49" s="2"/>
      <c r="J49" s="7">
        <f t="shared" si="30"/>
        <v>0.3031793919702947</v>
      </c>
      <c r="K49" s="2"/>
      <c r="L49" s="6">
        <f t="shared" si="31"/>
        <v>-3952</v>
      </c>
      <c r="M49" s="2"/>
      <c r="N49" s="7">
        <f t="shared" si="32"/>
        <v>-0.29951556086410847</v>
      </c>
      <c r="O49" s="11"/>
      <c r="P49" s="6">
        <v>36970.559999999998</v>
      </c>
      <c r="Q49" s="2"/>
      <c r="R49" s="7">
        <f t="shared" si="33"/>
        <v>9.6607946979476902E-2</v>
      </c>
      <c r="S49" s="2"/>
      <c r="T49" s="6">
        <v>54588.41</v>
      </c>
      <c r="U49" s="2"/>
      <c r="V49" s="7">
        <f t="shared" si="34"/>
        <v>0.94292877821613885</v>
      </c>
      <c r="W49" s="2"/>
      <c r="X49" s="6">
        <f t="shared" si="35"/>
        <v>-17617.850000000006</v>
      </c>
      <c r="Y49" s="2"/>
      <c r="Z49" s="7">
        <f t="shared" si="36"/>
        <v>-0.32273975373160724</v>
      </c>
    </row>
    <row r="50" spans="1:26" s="28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123.17</v>
      </c>
      <c r="E50" s="1"/>
      <c r="F50" s="5">
        <f t="shared" ref="F50:F67" si="37">IF(D$12=0,0,D50/D$12)</f>
        <v>6.8223089558244829E-4</v>
      </c>
      <c r="G50" s="1"/>
      <c r="H50" s="1">
        <f>SUM(OSRRefH22_6x_0)</f>
        <v>0</v>
      </c>
      <c r="I50" s="1"/>
      <c r="J50" s="5">
        <f t="shared" ref="J50:J67" si="38">IF(H$12=0,0,H50/H$12)</f>
        <v>0</v>
      </c>
      <c r="K50" s="1"/>
      <c r="L50" s="1">
        <f t="shared" ref="L50:L67" si="39">+D50-H50</f>
        <v>123.17</v>
      </c>
      <c r="M50" s="1"/>
      <c r="N50" s="5">
        <f t="shared" ref="N50:N67" si="40">IF(H50=0,0,L50/H50)</f>
        <v>0</v>
      </c>
      <c r="O50" s="14"/>
      <c r="P50" s="1">
        <f>SUM(OSRRefP22_6x_0)</f>
        <v>141.16999999999999</v>
      </c>
      <c r="Q50" s="1"/>
      <c r="R50" s="5">
        <f t="shared" ref="R50:R67" si="41">IF(P$12=0,0,P50/P$12)</f>
        <v>3.6889200150316235E-4</v>
      </c>
      <c r="S50" s="1"/>
      <c r="T50" s="1">
        <f>SUM(OSRRefT22_6x_0)</f>
        <v>0</v>
      </c>
      <c r="U50" s="1"/>
      <c r="V50" s="5">
        <f t="shared" ref="V50:V67" si="42">IF(T$12=0,0,T50/T$12)</f>
        <v>0</v>
      </c>
      <c r="W50" s="1"/>
      <c r="X50" s="1">
        <f t="shared" ref="X50:X67" si="43">+P50-T50</f>
        <v>141.16999999999999</v>
      </c>
      <c r="Y50" s="1"/>
      <c r="Z50" s="5">
        <f t="shared" ref="Z50:Z67" si="44">IF(T50=0,0,X50/T50)</f>
        <v>0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6">
        <v>123.17</v>
      </c>
      <c r="E51" s="2"/>
      <c r="F51" s="7">
        <f t="shared" si="37"/>
        <v>6.8223089558244829E-4</v>
      </c>
      <c r="G51" s="2"/>
      <c r="H51" s="6"/>
      <c r="I51" s="2"/>
      <c r="J51" s="7">
        <f t="shared" si="38"/>
        <v>0</v>
      </c>
      <c r="K51" s="2"/>
      <c r="L51" s="6">
        <f t="shared" si="39"/>
        <v>123.17</v>
      </c>
      <c r="M51" s="2"/>
      <c r="N51" s="7">
        <f t="shared" si="40"/>
        <v>0</v>
      </c>
      <c r="O51" s="11"/>
      <c r="P51" s="6">
        <v>141.16999999999999</v>
      </c>
      <c r="Q51" s="2"/>
      <c r="R51" s="7">
        <f t="shared" si="41"/>
        <v>3.6889200150316235E-4</v>
      </c>
      <c r="S51" s="2"/>
      <c r="T51" s="6"/>
      <c r="U51" s="2"/>
      <c r="V51" s="7">
        <f t="shared" si="42"/>
        <v>0</v>
      </c>
      <c r="W51" s="2"/>
      <c r="X51" s="6">
        <f t="shared" si="43"/>
        <v>141.16999999999999</v>
      </c>
      <c r="Y51" s="2"/>
      <c r="Z51" s="7">
        <f t="shared" si="44"/>
        <v>0</v>
      </c>
    </row>
    <row r="52" spans="1:26" s="28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1125.7</v>
      </c>
      <c r="E52" s="1"/>
      <c r="F52" s="5">
        <f t="shared" si="37"/>
        <v>6.2351816120578231E-3</v>
      </c>
      <c r="G52" s="1"/>
      <c r="H52" s="1">
        <f>SUM(OSRRefH22_7x_0)</f>
        <v>1984.06</v>
      </c>
      <c r="I52" s="1"/>
      <c r="J52" s="5">
        <f t="shared" si="38"/>
        <v>4.5588671190163806E-2</v>
      </c>
      <c r="K52" s="1"/>
      <c r="L52" s="1">
        <f t="shared" si="39"/>
        <v>-858.3599999999999</v>
      </c>
      <c r="M52" s="1"/>
      <c r="N52" s="5">
        <f t="shared" si="40"/>
        <v>-0.43262804552281681</v>
      </c>
      <c r="O52" s="14"/>
      <c r="P52" s="1">
        <f>SUM(OSRRefP22_7x_0)</f>
        <v>2924.41</v>
      </c>
      <c r="Q52" s="1"/>
      <c r="R52" s="5">
        <f t="shared" si="41"/>
        <v>7.6417897436839482E-3</v>
      </c>
      <c r="S52" s="1"/>
      <c r="T52" s="1">
        <f>SUM(OSRRefT22_7x_0)</f>
        <v>3300.67</v>
      </c>
      <c r="U52" s="1"/>
      <c r="V52" s="5">
        <f t="shared" si="42"/>
        <v>5.7013874014551123E-2</v>
      </c>
      <c r="W52" s="1"/>
      <c r="X52" s="1">
        <f t="shared" si="43"/>
        <v>-376.26000000000022</v>
      </c>
      <c r="Y52" s="1"/>
      <c r="Z52" s="5">
        <f t="shared" si="44"/>
        <v>-0.11399503737120045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6">
        <v>1125.7</v>
      </c>
      <c r="E53" s="2"/>
      <c r="F53" s="7">
        <f t="shared" si="37"/>
        <v>6.2351816120578231E-3</v>
      </c>
      <c r="G53" s="2"/>
      <c r="H53" s="6">
        <v>1984.06</v>
      </c>
      <c r="I53" s="2"/>
      <c r="J53" s="7">
        <f t="shared" si="38"/>
        <v>4.5588671190163806E-2</v>
      </c>
      <c r="K53" s="2"/>
      <c r="L53" s="6">
        <f t="shared" si="39"/>
        <v>-858.3599999999999</v>
      </c>
      <c r="M53" s="2"/>
      <c r="N53" s="7">
        <f t="shared" si="40"/>
        <v>-0.43262804552281681</v>
      </c>
      <c r="O53" s="11"/>
      <c r="P53" s="6">
        <v>2924.41</v>
      </c>
      <c r="Q53" s="2"/>
      <c r="R53" s="7">
        <f t="shared" si="41"/>
        <v>7.6417897436839482E-3</v>
      </c>
      <c r="S53" s="2"/>
      <c r="T53" s="6">
        <v>3300.67</v>
      </c>
      <c r="U53" s="2"/>
      <c r="V53" s="7">
        <f t="shared" si="42"/>
        <v>5.7013874014551123E-2</v>
      </c>
      <c r="W53" s="2"/>
      <c r="X53" s="6">
        <f t="shared" si="43"/>
        <v>-376.26000000000022</v>
      </c>
      <c r="Y53" s="2"/>
      <c r="Z53" s="7">
        <f t="shared" si="44"/>
        <v>-0.11399503737120045</v>
      </c>
    </row>
    <row r="54" spans="1:26" s="28" customFormat="1" outlineLevel="1" collapsed="1" x14ac:dyDescent="0.25">
      <c r="A54" s="27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0</v>
      </c>
      <c r="E54" s="1"/>
      <c r="F54" s="5">
        <f t="shared" si="37"/>
        <v>0</v>
      </c>
      <c r="G54" s="1"/>
      <c r="H54" s="1">
        <f>SUM(OSRRefH22_8x_0)</f>
        <v>0</v>
      </c>
      <c r="I54" s="1"/>
      <c r="J54" s="5">
        <f t="shared" si="38"/>
        <v>0</v>
      </c>
      <c r="K54" s="1"/>
      <c r="L54" s="1">
        <f t="shared" si="39"/>
        <v>0</v>
      </c>
      <c r="M54" s="1"/>
      <c r="N54" s="5">
        <f t="shared" si="40"/>
        <v>0</v>
      </c>
      <c r="O54" s="14"/>
      <c r="P54" s="1">
        <f>SUM(OSRRefP22_8x_0)</f>
        <v>0</v>
      </c>
      <c r="Q54" s="1"/>
      <c r="R54" s="5">
        <f t="shared" si="41"/>
        <v>0</v>
      </c>
      <c r="S54" s="1"/>
      <c r="T54" s="1">
        <f>SUM(OSRRefT22_8x_0)</f>
        <v>-5.41</v>
      </c>
      <c r="U54" s="1"/>
      <c r="V54" s="5">
        <f t="shared" si="42"/>
        <v>-9.3449226496051277E-5</v>
      </c>
      <c r="W54" s="1"/>
      <c r="X54" s="1">
        <f t="shared" si="43"/>
        <v>5.41</v>
      </c>
      <c r="Y54" s="1"/>
      <c r="Z54" s="5">
        <f t="shared" si="44"/>
        <v>-1</v>
      </c>
    </row>
    <row r="55" spans="1:26" s="24" customFormat="1" hidden="1" outlineLevel="2" x14ac:dyDescent="0.25">
      <c r="A55" s="29"/>
      <c r="B55" s="11" t="str">
        <f>CONCATENATE("          ", "6307", " - ", "POSTAGE")</f>
        <v xml:space="preserve">          6307 - POSTAGE</v>
      </c>
      <c r="C55" s="11"/>
      <c r="D55" s="6"/>
      <c r="E55" s="2"/>
      <c r="F55" s="7">
        <f t="shared" si="37"/>
        <v>0</v>
      </c>
      <c r="G55" s="2"/>
      <c r="H55" s="6"/>
      <c r="I55" s="2"/>
      <c r="J55" s="7">
        <f t="shared" si="38"/>
        <v>0</v>
      </c>
      <c r="K55" s="2"/>
      <c r="L55" s="6">
        <f t="shared" si="39"/>
        <v>0</v>
      </c>
      <c r="M55" s="2"/>
      <c r="N55" s="7">
        <f t="shared" si="40"/>
        <v>0</v>
      </c>
      <c r="O55" s="11"/>
      <c r="P55" s="6"/>
      <c r="Q55" s="2"/>
      <c r="R55" s="7">
        <f t="shared" si="41"/>
        <v>0</v>
      </c>
      <c r="S55" s="2"/>
      <c r="T55" s="6">
        <v>-5.41</v>
      </c>
      <c r="U55" s="2"/>
      <c r="V55" s="7">
        <f t="shared" si="42"/>
        <v>-9.3449226496051277E-5</v>
      </c>
      <c r="W55" s="2"/>
      <c r="X55" s="6">
        <f t="shared" si="43"/>
        <v>5.41</v>
      </c>
      <c r="Y55" s="2"/>
      <c r="Z55" s="7">
        <f t="shared" si="44"/>
        <v>-1</v>
      </c>
    </row>
    <row r="56" spans="1:26" s="28" customFormat="1" outlineLevel="1" collapsed="1" x14ac:dyDescent="0.25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1768.05</v>
      </c>
      <c r="E56" s="1"/>
      <c r="F56" s="5">
        <f t="shared" si="37"/>
        <v>9.793117925911728E-3</v>
      </c>
      <c r="G56" s="1"/>
      <c r="H56" s="1">
        <f>SUM(OSRRefH22_9x_0)</f>
        <v>0</v>
      </c>
      <c r="I56" s="1"/>
      <c r="J56" s="5">
        <f t="shared" si="38"/>
        <v>0</v>
      </c>
      <c r="K56" s="1"/>
      <c r="L56" s="1">
        <f t="shared" si="39"/>
        <v>1768.05</v>
      </c>
      <c r="M56" s="1"/>
      <c r="N56" s="5">
        <f t="shared" si="40"/>
        <v>0</v>
      </c>
      <c r="O56" s="14"/>
      <c r="P56" s="1">
        <f>SUM(OSRRefP22_9x_0)</f>
        <v>14090.26</v>
      </c>
      <c r="Q56" s="1"/>
      <c r="R56" s="5">
        <f t="shared" si="41"/>
        <v>3.6819325728553863E-2</v>
      </c>
      <c r="S56" s="1"/>
      <c r="T56" s="1">
        <f>SUM(OSRRefT22_9x_0)</f>
        <v>3766.45</v>
      </c>
      <c r="U56" s="1"/>
      <c r="V56" s="5">
        <f t="shared" si="42"/>
        <v>6.5059489673946827E-2</v>
      </c>
      <c r="W56" s="1"/>
      <c r="X56" s="1">
        <f t="shared" si="43"/>
        <v>10323.810000000001</v>
      </c>
      <c r="Y56" s="1"/>
      <c r="Z56" s="5">
        <f t="shared" si="44"/>
        <v>2.7409921809661624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6">
        <v>1768.05</v>
      </c>
      <c r="E57" s="2"/>
      <c r="F57" s="7">
        <f t="shared" si="37"/>
        <v>9.793117925911728E-3</v>
      </c>
      <c r="G57" s="2"/>
      <c r="H57" s="6"/>
      <c r="I57" s="2"/>
      <c r="J57" s="7">
        <f t="shared" si="38"/>
        <v>0</v>
      </c>
      <c r="K57" s="2"/>
      <c r="L57" s="6">
        <f t="shared" si="39"/>
        <v>1768.05</v>
      </c>
      <c r="M57" s="2"/>
      <c r="N57" s="7">
        <f t="shared" si="40"/>
        <v>0</v>
      </c>
      <c r="O57" s="11"/>
      <c r="P57" s="6">
        <v>14090.26</v>
      </c>
      <c r="Q57" s="2"/>
      <c r="R57" s="7">
        <f t="shared" si="41"/>
        <v>3.6819325728553863E-2</v>
      </c>
      <c r="S57" s="2"/>
      <c r="T57" s="6">
        <v>3766.45</v>
      </c>
      <c r="U57" s="2"/>
      <c r="V57" s="7">
        <f t="shared" si="42"/>
        <v>6.5059489673946827E-2</v>
      </c>
      <c r="W57" s="2"/>
      <c r="X57" s="6">
        <f t="shared" si="43"/>
        <v>10323.810000000001</v>
      </c>
      <c r="Y57" s="2"/>
      <c r="Z57" s="7">
        <f t="shared" si="44"/>
        <v>2.7409921809661624</v>
      </c>
    </row>
    <row r="58" spans="1:26" s="28" customFormat="1" outlineLevel="1" collapsed="1" x14ac:dyDescent="0.25">
      <c r="A58" s="27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12639.21</v>
      </c>
      <c r="E58" s="1"/>
      <c r="F58" s="5">
        <f t="shared" si="37"/>
        <v>7.0007790515179302E-2</v>
      </c>
      <c r="G58" s="1"/>
      <c r="H58" s="1">
        <f>SUM(OSRRefH22_10x_0)</f>
        <v>10352.129999999999</v>
      </c>
      <c r="I58" s="1"/>
      <c r="J58" s="5">
        <f t="shared" si="38"/>
        <v>0.23786571509320806</v>
      </c>
      <c r="K58" s="1"/>
      <c r="L58" s="1">
        <f t="shared" si="39"/>
        <v>2287.08</v>
      </c>
      <c r="M58" s="1"/>
      <c r="N58" s="5">
        <f t="shared" si="40"/>
        <v>0.22092844660953834</v>
      </c>
      <c r="O58" s="14"/>
      <c r="P58" s="1">
        <f>SUM(OSRRefP22_10x_0)</f>
        <v>29907.84</v>
      </c>
      <c r="Q58" s="1"/>
      <c r="R58" s="5">
        <f t="shared" si="41"/>
        <v>7.8152319602155837E-2</v>
      </c>
      <c r="S58" s="1"/>
      <c r="T58" s="1">
        <f>SUM(OSRRefT22_10x_0)</f>
        <v>23072.52</v>
      </c>
      <c r="U58" s="1"/>
      <c r="V58" s="5">
        <f t="shared" si="42"/>
        <v>0.39854143203598397</v>
      </c>
      <c r="W58" s="1"/>
      <c r="X58" s="1">
        <f t="shared" si="43"/>
        <v>6835.32</v>
      </c>
      <c r="Y58" s="1"/>
      <c r="Z58" s="5">
        <f t="shared" si="44"/>
        <v>0.2962537252107702</v>
      </c>
    </row>
    <row r="59" spans="1:26" s="24" customFormat="1" hidden="1" outlineLevel="2" x14ac:dyDescent="0.25">
      <c r="A59" s="29"/>
      <c r="B59" s="11" t="str">
        <f>CONCATENATE("          ", "6314", " - ", "LIABILITY INSURANCE")</f>
        <v xml:space="preserve">          6314 - LIABILITY INSURANCE</v>
      </c>
      <c r="C59" s="11"/>
      <c r="D59" s="6">
        <v>12639.21</v>
      </c>
      <c r="E59" s="2"/>
      <c r="F59" s="7">
        <f t="shared" si="37"/>
        <v>7.0007790515179302E-2</v>
      </c>
      <c r="G59" s="2"/>
      <c r="H59" s="6">
        <v>10352.129999999999</v>
      </c>
      <c r="I59" s="2"/>
      <c r="J59" s="7">
        <f t="shared" si="38"/>
        <v>0.23786571509320806</v>
      </c>
      <c r="K59" s="2"/>
      <c r="L59" s="6">
        <f t="shared" si="39"/>
        <v>2287.08</v>
      </c>
      <c r="M59" s="2"/>
      <c r="N59" s="7">
        <f t="shared" si="40"/>
        <v>0.22092844660953834</v>
      </c>
      <c r="O59" s="11"/>
      <c r="P59" s="6">
        <v>29907.84</v>
      </c>
      <c r="Q59" s="2"/>
      <c r="R59" s="7">
        <f t="shared" si="41"/>
        <v>7.8152319602155837E-2</v>
      </c>
      <c r="S59" s="2"/>
      <c r="T59" s="6">
        <v>23072.52</v>
      </c>
      <c r="U59" s="2"/>
      <c r="V59" s="7">
        <f t="shared" si="42"/>
        <v>0.39854143203598397</v>
      </c>
      <c r="W59" s="2"/>
      <c r="X59" s="6">
        <f t="shared" si="43"/>
        <v>6835.32</v>
      </c>
      <c r="Y59" s="2"/>
      <c r="Z59" s="7">
        <f t="shared" si="44"/>
        <v>0.2962537252107702</v>
      </c>
    </row>
    <row r="60" spans="1:26" s="28" customFormat="1" outlineLevel="1" collapsed="1" x14ac:dyDescent="0.25">
      <c r="A60" s="27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SUM(OSRRefD22_11x_0)</f>
        <v>6739</v>
      </c>
      <c r="E60" s="1"/>
      <c r="F60" s="5">
        <f t="shared" si="37"/>
        <v>3.7326897826825675E-2</v>
      </c>
      <c r="G60" s="1"/>
      <c r="H60" s="1">
        <f>SUM(OSRRefH22_11x_0)</f>
        <v>7023.15</v>
      </c>
      <c r="I60" s="1"/>
      <c r="J60" s="5">
        <f t="shared" si="38"/>
        <v>0.16137419033154185</v>
      </c>
      <c r="K60" s="1"/>
      <c r="L60" s="1">
        <f t="shared" si="39"/>
        <v>-284.14999999999964</v>
      </c>
      <c r="M60" s="1"/>
      <c r="N60" s="5">
        <f t="shared" si="40"/>
        <v>-4.0459053273815833E-2</v>
      </c>
      <c r="O60" s="14"/>
      <c r="P60" s="1">
        <f>SUM(OSRRefP22_11x_0)</f>
        <v>28498</v>
      </c>
      <c r="Q60" s="1"/>
      <c r="R60" s="5">
        <f t="shared" si="41"/>
        <v>7.4468259962011202E-2</v>
      </c>
      <c r="S60" s="1"/>
      <c r="T60" s="1">
        <f>SUM(OSRRefT22_11x_0)</f>
        <v>29553.15</v>
      </c>
      <c r="U60" s="1"/>
      <c r="V60" s="5">
        <f t="shared" si="42"/>
        <v>0.51048410499478336</v>
      </c>
      <c r="W60" s="1"/>
      <c r="X60" s="1">
        <f t="shared" si="43"/>
        <v>-1055.1500000000015</v>
      </c>
      <c r="Y60" s="1"/>
      <c r="Z60" s="5">
        <f t="shared" si="44"/>
        <v>-3.5703469850083713E-2</v>
      </c>
    </row>
    <row r="61" spans="1:26" s="24" customFormat="1" hidden="1" outlineLevel="2" x14ac:dyDescent="0.25">
      <c r="A61" s="29"/>
      <c r="B61" s="11" t="str">
        <f>CONCATENATE("          ", "6401", " - ", "INTEREST EXPENSE")</f>
        <v xml:space="preserve">          6401 - INTEREST EXPENSE</v>
      </c>
      <c r="C61" s="11"/>
      <c r="D61" s="6">
        <v>6739</v>
      </c>
      <c r="E61" s="2"/>
      <c r="F61" s="7">
        <f t="shared" si="37"/>
        <v>3.7326897826825675E-2</v>
      </c>
      <c r="G61" s="2"/>
      <c r="H61" s="6">
        <v>7023.15</v>
      </c>
      <c r="I61" s="2"/>
      <c r="J61" s="7">
        <f t="shared" si="38"/>
        <v>0.16137419033154185</v>
      </c>
      <c r="K61" s="2"/>
      <c r="L61" s="6">
        <f t="shared" si="39"/>
        <v>-284.14999999999964</v>
      </c>
      <c r="M61" s="2"/>
      <c r="N61" s="7">
        <f t="shared" si="40"/>
        <v>-4.0459053273815833E-2</v>
      </c>
      <c r="O61" s="11"/>
      <c r="P61" s="6">
        <v>28498</v>
      </c>
      <c r="Q61" s="2"/>
      <c r="R61" s="7">
        <f t="shared" si="41"/>
        <v>7.4468259962011202E-2</v>
      </c>
      <c r="S61" s="2"/>
      <c r="T61" s="6">
        <v>29553.15</v>
      </c>
      <c r="U61" s="2"/>
      <c r="V61" s="7">
        <f t="shared" si="42"/>
        <v>0.51048410499478336</v>
      </c>
      <c r="W61" s="2"/>
      <c r="X61" s="6">
        <f t="shared" si="43"/>
        <v>-1055.1500000000015</v>
      </c>
      <c r="Y61" s="2"/>
      <c r="Z61" s="7">
        <f t="shared" si="44"/>
        <v>-3.5703469850083713E-2</v>
      </c>
    </row>
    <row r="62" spans="1:26" s="28" customFormat="1" outlineLevel="1" collapsed="1" x14ac:dyDescent="0.25">
      <c r="A62" s="27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1850</v>
      </c>
      <c r="E62" s="1"/>
      <c r="F62" s="5">
        <f t="shared" si="37"/>
        <v>1.0247033829889821E-2</v>
      </c>
      <c r="G62" s="1"/>
      <c r="H62" s="1">
        <f>SUM(OSRRefH22_12x_0)</f>
        <v>0</v>
      </c>
      <c r="I62" s="1"/>
      <c r="J62" s="5">
        <f t="shared" si="38"/>
        <v>0</v>
      </c>
      <c r="K62" s="1"/>
      <c r="L62" s="1">
        <f t="shared" si="39"/>
        <v>1850</v>
      </c>
      <c r="M62" s="1"/>
      <c r="N62" s="5">
        <f t="shared" si="40"/>
        <v>0</v>
      </c>
      <c r="O62" s="14"/>
      <c r="P62" s="1">
        <f>SUM(OSRRefP22_12x_0)</f>
        <v>7400</v>
      </c>
      <c r="Q62" s="1"/>
      <c r="R62" s="5">
        <f t="shared" si="41"/>
        <v>1.9336975356827948E-2</v>
      </c>
      <c r="S62" s="1"/>
      <c r="T62" s="1">
        <f>SUM(OSRRefT22_12x_0)</f>
        <v>5550</v>
      </c>
      <c r="U62" s="1"/>
      <c r="V62" s="5">
        <f t="shared" si="42"/>
        <v>9.5867505924784588E-2</v>
      </c>
      <c r="W62" s="1"/>
      <c r="X62" s="1">
        <f t="shared" si="43"/>
        <v>1850</v>
      </c>
      <c r="Y62" s="1"/>
      <c r="Z62" s="5">
        <f t="shared" si="44"/>
        <v>0.33333333333333331</v>
      </c>
    </row>
    <row r="63" spans="1:26" s="24" customFormat="1" hidden="1" outlineLevel="2" x14ac:dyDescent="0.25">
      <c r="A63" s="29"/>
      <c r="B63" s="11" t="str">
        <f>CONCATENATE("          ", "6273", " - ", "RENT")</f>
        <v xml:space="preserve">          6273 - RENT</v>
      </c>
      <c r="C63" s="11"/>
      <c r="D63" s="6">
        <v>1850</v>
      </c>
      <c r="E63" s="2"/>
      <c r="F63" s="7">
        <f t="shared" si="37"/>
        <v>1.0247033829889821E-2</v>
      </c>
      <c r="G63" s="2"/>
      <c r="H63" s="6"/>
      <c r="I63" s="2"/>
      <c r="J63" s="7">
        <f t="shared" si="38"/>
        <v>0</v>
      </c>
      <c r="K63" s="2"/>
      <c r="L63" s="6">
        <f t="shared" si="39"/>
        <v>1850</v>
      </c>
      <c r="M63" s="2"/>
      <c r="N63" s="7">
        <f t="shared" si="40"/>
        <v>0</v>
      </c>
      <c r="O63" s="11"/>
      <c r="P63" s="6">
        <v>7400</v>
      </c>
      <c r="Q63" s="2"/>
      <c r="R63" s="7">
        <f t="shared" si="41"/>
        <v>1.9336975356827948E-2</v>
      </c>
      <c r="S63" s="2"/>
      <c r="T63" s="6">
        <v>5550</v>
      </c>
      <c r="U63" s="2"/>
      <c r="V63" s="7">
        <f t="shared" si="42"/>
        <v>9.5867505924784588E-2</v>
      </c>
      <c r="W63" s="2"/>
      <c r="X63" s="6">
        <f t="shared" si="43"/>
        <v>1850</v>
      </c>
      <c r="Y63" s="2"/>
      <c r="Z63" s="7">
        <f t="shared" si="44"/>
        <v>0.33333333333333331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7679.84</v>
      </c>
      <c r="E64" s="1"/>
      <c r="F64" s="5">
        <f t="shared" si="37"/>
        <v>4.2538151507103265E-2</v>
      </c>
      <c r="G64" s="1"/>
      <c r="H64" s="1">
        <f>SUM(OSRRefH22_13x_0)</f>
        <v>3999.3799999999997</v>
      </c>
      <c r="I64" s="1"/>
      <c r="J64" s="5">
        <f t="shared" si="38"/>
        <v>9.1895617967459306E-2</v>
      </c>
      <c r="K64" s="1"/>
      <c r="L64" s="1">
        <f t="shared" si="39"/>
        <v>3680.4600000000005</v>
      </c>
      <c r="M64" s="1"/>
      <c r="N64" s="5">
        <f t="shared" si="40"/>
        <v>0.92025763993418996</v>
      </c>
      <c r="O64" s="14"/>
      <c r="P64" s="1">
        <f>SUM(OSRRefP22_13x_0)</f>
        <v>36511.46</v>
      </c>
      <c r="Q64" s="1"/>
      <c r="R64" s="5">
        <f t="shared" si="41"/>
        <v>9.540827057592019E-2</v>
      </c>
      <c r="S64" s="1"/>
      <c r="T64" s="1">
        <f>SUM(OSRRefT22_13x_0)</f>
        <v>15007.130000000001</v>
      </c>
      <c r="U64" s="1"/>
      <c r="V64" s="5">
        <f t="shared" si="42"/>
        <v>0.25922452688090319</v>
      </c>
      <c r="W64" s="1"/>
      <c r="X64" s="1">
        <f t="shared" si="43"/>
        <v>21504.329999999998</v>
      </c>
      <c r="Y64" s="1"/>
      <c r="Z64" s="5">
        <f t="shared" si="44"/>
        <v>1.4329408754372086</v>
      </c>
    </row>
    <row r="65" spans="1:26" s="24" customFormat="1" hidden="1" outlineLevel="2" x14ac:dyDescent="0.25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159.68</v>
      </c>
      <c r="E65" s="2"/>
      <c r="F65" s="7">
        <f t="shared" si="37"/>
        <v>8.844574929496253E-4</v>
      </c>
      <c r="G65" s="2"/>
      <c r="H65" s="6"/>
      <c r="I65" s="2"/>
      <c r="J65" s="7">
        <f t="shared" si="38"/>
        <v>0</v>
      </c>
      <c r="K65" s="2"/>
      <c r="L65" s="6">
        <f t="shared" si="39"/>
        <v>159.68</v>
      </c>
      <c r="M65" s="2"/>
      <c r="N65" s="7">
        <f t="shared" si="40"/>
        <v>0</v>
      </c>
      <c r="O65" s="11"/>
      <c r="P65" s="6">
        <v>5337.4</v>
      </c>
      <c r="Q65" s="2"/>
      <c r="R65" s="7">
        <f t="shared" si="41"/>
        <v>1.3947185441828849E-2</v>
      </c>
      <c r="S65" s="2"/>
      <c r="T65" s="6"/>
      <c r="U65" s="2"/>
      <c r="V65" s="7">
        <f t="shared" si="42"/>
        <v>0</v>
      </c>
      <c r="W65" s="2"/>
      <c r="X65" s="6">
        <f t="shared" si="43"/>
        <v>5337.4</v>
      </c>
      <c r="Y65" s="2"/>
      <c r="Z65" s="7">
        <f t="shared" si="44"/>
        <v>0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6">
        <v>2926.42</v>
      </c>
      <c r="E66" s="2"/>
      <c r="F66" s="7">
        <f t="shared" si="37"/>
        <v>1.6209256616468201E-2</v>
      </c>
      <c r="G66" s="2"/>
      <c r="H66" s="6">
        <v>3179.47</v>
      </c>
      <c r="I66" s="2"/>
      <c r="J66" s="7">
        <f t="shared" si="38"/>
        <v>7.3056163820141587E-2</v>
      </c>
      <c r="K66" s="2"/>
      <c r="L66" s="6">
        <f t="shared" si="39"/>
        <v>-253.04999999999973</v>
      </c>
      <c r="M66" s="2"/>
      <c r="N66" s="7">
        <f t="shared" si="40"/>
        <v>-7.958873648752772E-2</v>
      </c>
      <c r="O66" s="11"/>
      <c r="P66" s="6">
        <v>3813.2</v>
      </c>
      <c r="Q66" s="2"/>
      <c r="R66" s="7">
        <f t="shared" si="41"/>
        <v>9.9642911392778828E-3</v>
      </c>
      <c r="S66" s="2"/>
      <c r="T66" s="6">
        <v>8877.18</v>
      </c>
      <c r="U66" s="2"/>
      <c r="V66" s="7">
        <f t="shared" si="42"/>
        <v>0.15333929842259086</v>
      </c>
      <c r="W66" s="2"/>
      <c r="X66" s="6">
        <f t="shared" si="43"/>
        <v>-5063.9800000000005</v>
      </c>
      <c r="Y66" s="2"/>
      <c r="Z66" s="7">
        <f t="shared" si="44"/>
        <v>-0.57044917417468166</v>
      </c>
    </row>
    <row r="67" spans="1:26" s="24" customFormat="1" hidden="1" outlineLevel="2" x14ac:dyDescent="0.2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4593.74</v>
      </c>
      <c r="E67" s="2"/>
      <c r="F67" s="7">
        <f t="shared" si="37"/>
        <v>2.544443739768544E-2</v>
      </c>
      <c r="G67" s="2"/>
      <c r="H67" s="6">
        <v>819.91</v>
      </c>
      <c r="I67" s="2"/>
      <c r="J67" s="7">
        <f t="shared" si="38"/>
        <v>1.8839454147317723E-2</v>
      </c>
      <c r="K67" s="2"/>
      <c r="L67" s="6">
        <f t="shared" si="39"/>
        <v>3773.83</v>
      </c>
      <c r="M67" s="2"/>
      <c r="N67" s="7">
        <f t="shared" si="40"/>
        <v>4.6027368857557533</v>
      </c>
      <c r="O67" s="11"/>
      <c r="P67" s="6">
        <v>27360.86</v>
      </c>
      <c r="Q67" s="2"/>
      <c r="R67" s="7">
        <f t="shared" si="41"/>
        <v>7.1496793994813457E-2</v>
      </c>
      <c r="S67" s="2"/>
      <c r="T67" s="6">
        <v>6129.95</v>
      </c>
      <c r="U67" s="2"/>
      <c r="V67" s="7">
        <f t="shared" si="42"/>
        <v>0.1058852284583123</v>
      </c>
      <c r="W67" s="2"/>
      <c r="X67" s="6">
        <f t="shared" si="43"/>
        <v>21230.91</v>
      </c>
      <c r="Y67" s="2"/>
      <c r="Z67" s="7">
        <f t="shared" si="44"/>
        <v>3.4634719695919216</v>
      </c>
    </row>
    <row r="68" spans="1:26" s="28" customFormat="1" outlineLevel="1" collapsed="1" x14ac:dyDescent="0.25">
      <c r="A68" s="27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SUM(OSRRefD22_14x_0)</f>
        <v>1066.22</v>
      </c>
      <c r="E68" s="1"/>
      <c r="F68" s="5">
        <f t="shared" ref="F68:F74" si="45">IF(D$12=0,0,D68/D$12)</f>
        <v>5.9057256270838515E-3</v>
      </c>
      <c r="G68" s="1"/>
      <c r="H68" s="1">
        <f>SUM(OSRRefH22_14x_0)</f>
        <v>0</v>
      </c>
      <c r="I68" s="1"/>
      <c r="J68" s="5">
        <f t="shared" ref="J68:J74" si="46">IF(H$12=0,0,H68/H$12)</f>
        <v>0</v>
      </c>
      <c r="K68" s="1"/>
      <c r="L68" s="1">
        <f t="shared" ref="L68:L74" si="47">+D68-H68</f>
        <v>1066.22</v>
      </c>
      <c r="M68" s="1"/>
      <c r="N68" s="5">
        <f t="shared" ref="N68:N74" si="48">IF(H68=0,0,L68/H68)</f>
        <v>0</v>
      </c>
      <c r="O68" s="14"/>
      <c r="P68" s="1">
        <f>SUM(OSRRefP22_14x_0)</f>
        <v>1066.22</v>
      </c>
      <c r="Q68" s="1"/>
      <c r="R68" s="5">
        <f t="shared" ref="R68:R74" si="49">IF(P$12=0,0,P68/P$12)</f>
        <v>2.7861445763455537E-3</v>
      </c>
      <c r="S68" s="1"/>
      <c r="T68" s="1">
        <f>SUM(OSRRefT22_14x_0)</f>
        <v>0</v>
      </c>
      <c r="U68" s="1"/>
      <c r="V68" s="5">
        <f t="shared" ref="V68:V74" si="50">IF(T$12=0,0,T68/T$12)</f>
        <v>0</v>
      </c>
      <c r="W68" s="1"/>
      <c r="X68" s="1">
        <f t="shared" ref="X68:X74" si="51">+P68-T68</f>
        <v>1066.22</v>
      </c>
      <c r="Y68" s="1"/>
      <c r="Z68" s="5">
        <f t="shared" ref="Z68:Z74" si="52">IF(T68=0,0,X68/T68)</f>
        <v>0</v>
      </c>
    </row>
    <row r="69" spans="1:26" s="24" customFormat="1" hidden="1" outlineLevel="2" x14ac:dyDescent="0.25">
      <c r="A69" s="29"/>
      <c r="B69" s="11" t="str">
        <f>CONCATENATE("          ", "6254", " - ", "ROYALTY &amp; COMMISSIONS")</f>
        <v xml:space="preserve">          6254 - ROYALTY &amp; COMMISSIONS</v>
      </c>
      <c r="C69" s="11"/>
      <c r="D69" s="6">
        <v>1066.22</v>
      </c>
      <c r="E69" s="2"/>
      <c r="F69" s="7">
        <f t="shared" si="45"/>
        <v>5.9057256270838515E-3</v>
      </c>
      <c r="G69" s="2"/>
      <c r="H69" s="6"/>
      <c r="I69" s="2"/>
      <c r="J69" s="7">
        <f t="shared" si="46"/>
        <v>0</v>
      </c>
      <c r="K69" s="2"/>
      <c r="L69" s="6">
        <f t="shared" si="47"/>
        <v>1066.22</v>
      </c>
      <c r="M69" s="2"/>
      <c r="N69" s="7">
        <f t="shared" si="48"/>
        <v>0</v>
      </c>
      <c r="O69" s="11"/>
      <c r="P69" s="6">
        <v>1066.22</v>
      </c>
      <c r="Q69" s="2"/>
      <c r="R69" s="7">
        <f t="shared" si="49"/>
        <v>2.7861445763455537E-3</v>
      </c>
      <c r="S69" s="2"/>
      <c r="T69" s="6"/>
      <c r="U69" s="2"/>
      <c r="V69" s="7">
        <f t="shared" si="50"/>
        <v>0</v>
      </c>
      <c r="W69" s="2"/>
      <c r="X69" s="6">
        <f t="shared" si="51"/>
        <v>1066.22</v>
      </c>
      <c r="Y69" s="2"/>
      <c r="Z69" s="7">
        <f t="shared" si="52"/>
        <v>0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SUM(OSRRefD22_15x_0)</f>
        <v>6017.3700000000008</v>
      </c>
      <c r="E70" s="1"/>
      <c r="F70" s="5">
        <f t="shared" si="45"/>
        <v>3.3329834571331957E-2</v>
      </c>
      <c r="G70" s="1"/>
      <c r="H70" s="1">
        <f>SUM(OSRRefH22_15x_0)</f>
        <v>6452.73</v>
      </c>
      <c r="I70" s="1"/>
      <c r="J70" s="5">
        <f t="shared" si="46"/>
        <v>0.14826738417633825</v>
      </c>
      <c r="K70" s="1"/>
      <c r="L70" s="1">
        <f t="shared" si="47"/>
        <v>-435.35999999999876</v>
      </c>
      <c r="M70" s="1"/>
      <c r="N70" s="5">
        <f t="shared" si="48"/>
        <v>-6.74691177222662E-2</v>
      </c>
      <c r="O70" s="14"/>
      <c r="P70" s="1">
        <f>SUM(OSRRefP22_15x_0)</f>
        <v>35015.919999999998</v>
      </c>
      <c r="Q70" s="1"/>
      <c r="R70" s="5">
        <f t="shared" si="49"/>
        <v>9.1500267856305259E-2</v>
      </c>
      <c r="S70" s="1"/>
      <c r="T70" s="1">
        <f>SUM(OSRRefT22_15x_0)</f>
        <v>16980.79</v>
      </c>
      <c r="U70" s="1"/>
      <c r="V70" s="5">
        <f t="shared" si="50"/>
        <v>0.29331639386171582</v>
      </c>
      <c r="W70" s="1"/>
      <c r="X70" s="1">
        <f t="shared" si="51"/>
        <v>18035.129999999997</v>
      </c>
      <c r="Y70" s="1"/>
      <c r="Z70" s="5">
        <f t="shared" si="52"/>
        <v>1.0620901618829275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1437.06</v>
      </c>
      <c r="E71" s="2"/>
      <c r="F71" s="7">
        <f t="shared" si="45"/>
        <v>7.9597851003143059E-3</v>
      </c>
      <c r="G71" s="2"/>
      <c r="H71" s="6">
        <v>971.78</v>
      </c>
      <c r="I71" s="2"/>
      <c r="J71" s="7">
        <f t="shared" si="46"/>
        <v>2.2329041908600234E-2</v>
      </c>
      <c r="K71" s="2"/>
      <c r="L71" s="6">
        <f t="shared" si="47"/>
        <v>465.28</v>
      </c>
      <c r="M71" s="2"/>
      <c r="N71" s="7">
        <f t="shared" si="48"/>
        <v>0.47879149601761717</v>
      </c>
      <c r="O71" s="11"/>
      <c r="P71" s="6">
        <v>4150.46</v>
      </c>
      <c r="Q71" s="2"/>
      <c r="R71" s="7">
        <f t="shared" si="49"/>
        <v>1.0845586856689206E-2</v>
      </c>
      <c r="S71" s="2"/>
      <c r="T71" s="6">
        <v>1752.65</v>
      </c>
      <c r="U71" s="2"/>
      <c r="V71" s="7">
        <f t="shared" si="50"/>
        <v>3.0274267434067335E-2</v>
      </c>
      <c r="W71" s="2"/>
      <c r="X71" s="6">
        <f t="shared" si="51"/>
        <v>2397.81</v>
      </c>
      <c r="Y71" s="2"/>
      <c r="Z71" s="7">
        <f t="shared" si="52"/>
        <v>1.3681054403332096</v>
      </c>
    </row>
    <row r="72" spans="1:26" s="24" customFormat="1" hidden="1" outlineLevel="2" x14ac:dyDescent="0.25">
      <c r="A72" s="29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45"/>
        <v>0</v>
      </c>
      <c r="G72" s="2"/>
      <c r="H72" s="6">
        <v>5369</v>
      </c>
      <c r="I72" s="2"/>
      <c r="J72" s="7">
        <f t="shared" si="46"/>
        <v>0.12336601494913937</v>
      </c>
      <c r="K72" s="2"/>
      <c r="L72" s="6">
        <f t="shared" si="47"/>
        <v>-5369</v>
      </c>
      <c r="M72" s="2"/>
      <c r="N72" s="7">
        <f t="shared" si="48"/>
        <v>-1</v>
      </c>
      <c r="O72" s="11"/>
      <c r="P72" s="6"/>
      <c r="Q72" s="2"/>
      <c r="R72" s="7">
        <f t="shared" si="49"/>
        <v>0</v>
      </c>
      <c r="S72" s="2"/>
      <c r="T72" s="6">
        <v>8130</v>
      </c>
      <c r="U72" s="2"/>
      <c r="V72" s="7">
        <f t="shared" si="50"/>
        <v>0.1404329411114412</v>
      </c>
      <c r="W72" s="2"/>
      <c r="X72" s="6">
        <f t="shared" si="51"/>
        <v>-8130</v>
      </c>
      <c r="Y72" s="2"/>
      <c r="Z72" s="7">
        <f t="shared" si="52"/>
        <v>-1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6">
        <v>3804.38</v>
      </c>
      <c r="E73" s="2"/>
      <c r="F73" s="7">
        <f t="shared" si="45"/>
        <v>2.1072221925273645E-2</v>
      </c>
      <c r="G73" s="2"/>
      <c r="H73" s="6"/>
      <c r="I73" s="2"/>
      <c r="J73" s="7">
        <f t="shared" si="46"/>
        <v>0</v>
      </c>
      <c r="K73" s="2"/>
      <c r="L73" s="6">
        <f t="shared" si="47"/>
        <v>3804.38</v>
      </c>
      <c r="M73" s="2"/>
      <c r="N73" s="7">
        <f t="shared" si="48"/>
        <v>0</v>
      </c>
      <c r="O73" s="11"/>
      <c r="P73" s="6">
        <v>29562.28</v>
      </c>
      <c r="Q73" s="2"/>
      <c r="R73" s="7">
        <f t="shared" si="49"/>
        <v>7.7249335115087525E-2</v>
      </c>
      <c r="S73" s="2"/>
      <c r="T73" s="6">
        <v>6411.93</v>
      </c>
      <c r="U73" s="2"/>
      <c r="V73" s="7">
        <f t="shared" si="50"/>
        <v>0.110755988696271</v>
      </c>
      <c r="W73" s="2"/>
      <c r="X73" s="6">
        <f t="shared" si="51"/>
        <v>23150.35</v>
      </c>
      <c r="Y73" s="2"/>
      <c r="Z73" s="7">
        <f t="shared" si="52"/>
        <v>3.6105119675355155</v>
      </c>
    </row>
    <row r="74" spans="1:26" s="24" customFormat="1" hidden="1" outlineLevel="2" x14ac:dyDescent="0.25">
      <c r="A74" s="29"/>
      <c r="B74" s="11" t="str">
        <f>CONCATENATE("          ", "6286", " - ", "LAUNDRY EXPENSE")</f>
        <v xml:space="preserve">          6286 - LAUNDRY EXPENSE</v>
      </c>
      <c r="C74" s="11"/>
      <c r="D74" s="6">
        <v>775.93</v>
      </c>
      <c r="E74" s="2"/>
      <c r="F74" s="7">
        <f t="shared" si="45"/>
        <v>4.2978275457440044E-3</v>
      </c>
      <c r="G74" s="2"/>
      <c r="H74" s="6">
        <v>111.95</v>
      </c>
      <c r="I74" s="2"/>
      <c r="J74" s="7">
        <f t="shared" si="46"/>
        <v>2.5723273185986502E-3</v>
      </c>
      <c r="K74" s="2"/>
      <c r="L74" s="6">
        <f t="shared" si="47"/>
        <v>663.9799999999999</v>
      </c>
      <c r="M74" s="2"/>
      <c r="N74" s="7">
        <f t="shared" si="48"/>
        <v>5.9310406431442599</v>
      </c>
      <c r="O74" s="11"/>
      <c r="P74" s="6">
        <v>1303.18</v>
      </c>
      <c r="Q74" s="2"/>
      <c r="R74" s="7">
        <f t="shared" si="49"/>
        <v>3.40534588452852E-3</v>
      </c>
      <c r="S74" s="2"/>
      <c r="T74" s="6">
        <v>686.21</v>
      </c>
      <c r="U74" s="2"/>
      <c r="V74" s="7">
        <f t="shared" si="50"/>
        <v>1.1853196619936295E-2</v>
      </c>
      <c r="W74" s="2"/>
      <c r="X74" s="6">
        <f t="shared" si="51"/>
        <v>616.97</v>
      </c>
      <c r="Y74" s="2"/>
      <c r="Z74" s="7">
        <f t="shared" si="52"/>
        <v>0.89909794377814367</v>
      </c>
    </row>
    <row r="75" spans="1:26" s="28" customFormat="1" outlineLevel="1" collapsed="1" x14ac:dyDescent="0.2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SUM(OSRRefD22_16x_0)</f>
        <v>813.81</v>
      </c>
      <c r="E75" s="1"/>
      <c r="F75" s="5">
        <f t="shared" ref="F75:F85" si="53">IF(D$12=0,0,D75/D$12)</f>
        <v>4.5076424870825055E-3</v>
      </c>
      <c r="G75" s="1"/>
      <c r="H75" s="1">
        <f>SUM(OSRRefH22_16x_0)</f>
        <v>130.66999999999999</v>
      </c>
      <c r="I75" s="1"/>
      <c r="J75" s="5">
        <f t="shared" ref="J75:J85" si="54">IF(H$12=0,0,H75/H$12)</f>
        <v>3.0024654821017025E-3</v>
      </c>
      <c r="K75" s="1"/>
      <c r="L75" s="1">
        <f t="shared" ref="L75:L85" si="55">+D75-H75</f>
        <v>683.14</v>
      </c>
      <c r="M75" s="1"/>
      <c r="N75" s="5">
        <f t="shared" ref="N75:N85" si="56">IF(H75=0,0,L75/H75)</f>
        <v>5.2279788780898446</v>
      </c>
      <c r="O75" s="14"/>
      <c r="P75" s="1">
        <f>SUM(OSRRefP22_16x_0)</f>
        <v>1947</v>
      </c>
      <c r="Q75" s="1"/>
      <c r="R75" s="5">
        <f t="shared" ref="R75:R85" si="57">IF(P$12=0,0,P75/P$12)</f>
        <v>5.0877150026681101E-3</v>
      </c>
      <c r="S75" s="1"/>
      <c r="T75" s="1">
        <f>SUM(OSRRefT22_16x_0)</f>
        <v>271.33</v>
      </c>
      <c r="U75" s="1"/>
      <c r="V75" s="5">
        <f t="shared" ref="V75:V85" si="58">IF(T$12=0,0,T75/T$12)</f>
        <v>4.686798267130054E-3</v>
      </c>
      <c r="W75" s="1"/>
      <c r="X75" s="1">
        <f t="shared" ref="X75:X85" si="59">+P75-T75</f>
        <v>1675.67</v>
      </c>
      <c r="Y75" s="1"/>
      <c r="Z75" s="5">
        <f t="shared" ref="Z75:Z85" si="60">IF(T75=0,0,X75/T75)</f>
        <v>6.1757638300224826</v>
      </c>
    </row>
    <row r="76" spans="1:26" s="24" customFormat="1" hidden="1" outlineLevel="2" x14ac:dyDescent="0.25">
      <c r="A76" s="29"/>
      <c r="B76" s="11" t="str">
        <f>CONCATENATE("          ", "6275", " - ", "SUBSCRIPTIONS")</f>
        <v xml:space="preserve">          6275 - SUBSCRIPTIONS</v>
      </c>
      <c r="C76" s="11"/>
      <c r="D76" s="6">
        <v>813.81</v>
      </c>
      <c r="E76" s="2"/>
      <c r="F76" s="7">
        <f t="shared" si="53"/>
        <v>4.5076424870825055E-3</v>
      </c>
      <c r="G76" s="2"/>
      <c r="H76" s="6">
        <v>130.66999999999999</v>
      </c>
      <c r="I76" s="2"/>
      <c r="J76" s="7">
        <f t="shared" si="54"/>
        <v>3.0024654821017025E-3</v>
      </c>
      <c r="K76" s="2"/>
      <c r="L76" s="6">
        <f t="shared" si="55"/>
        <v>683.14</v>
      </c>
      <c r="M76" s="2"/>
      <c r="N76" s="7">
        <f t="shared" si="56"/>
        <v>5.2279788780898446</v>
      </c>
      <c r="O76" s="11"/>
      <c r="P76" s="6">
        <v>1947</v>
      </c>
      <c r="Q76" s="2"/>
      <c r="R76" s="7">
        <f t="shared" si="57"/>
        <v>5.0877150026681101E-3</v>
      </c>
      <c r="S76" s="2"/>
      <c r="T76" s="6">
        <v>271.33</v>
      </c>
      <c r="U76" s="2"/>
      <c r="V76" s="7">
        <f t="shared" si="58"/>
        <v>4.686798267130054E-3</v>
      </c>
      <c r="W76" s="2"/>
      <c r="X76" s="6">
        <f t="shared" si="59"/>
        <v>1675.67</v>
      </c>
      <c r="Y76" s="2"/>
      <c r="Z76" s="7">
        <f t="shared" si="60"/>
        <v>6.1757638300224826</v>
      </c>
    </row>
    <row r="77" spans="1:26" s="28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SUM(OSRRefD22_17x_0)</f>
        <v>7705.43</v>
      </c>
      <c r="E77" s="1"/>
      <c r="F77" s="5">
        <f t="shared" si="53"/>
        <v>4.2679892910188068E-2</v>
      </c>
      <c r="G77" s="1"/>
      <c r="H77" s="1">
        <f>SUM(OSRRefH22_17x_0)</f>
        <v>6392.76</v>
      </c>
      <c r="I77" s="1"/>
      <c r="J77" s="5">
        <f t="shared" si="54"/>
        <v>0.14688942554037257</v>
      </c>
      <c r="K77" s="1"/>
      <c r="L77" s="1">
        <f t="shared" si="55"/>
        <v>1312.67</v>
      </c>
      <c r="M77" s="1"/>
      <c r="N77" s="5">
        <f t="shared" si="56"/>
        <v>0.2053369749529155</v>
      </c>
      <c r="O77" s="14"/>
      <c r="P77" s="1">
        <f>SUM(OSRRefP22_17x_0)</f>
        <v>15627.480000000001</v>
      </c>
      <c r="Q77" s="1"/>
      <c r="R77" s="5">
        <f t="shared" si="57"/>
        <v>4.0836242655313736E-2</v>
      </c>
      <c r="S77" s="1"/>
      <c r="T77" s="1">
        <f>SUM(OSRRefT22_17x_0)</f>
        <v>-21642.68</v>
      </c>
      <c r="U77" s="1"/>
      <c r="V77" s="5">
        <f t="shared" si="58"/>
        <v>-0.37384319876184086</v>
      </c>
      <c r="W77" s="1"/>
      <c r="X77" s="1">
        <f t="shared" si="59"/>
        <v>37270.160000000003</v>
      </c>
      <c r="Y77" s="1"/>
      <c r="Z77" s="5">
        <f t="shared" si="60"/>
        <v>-1.7220676921712099</v>
      </c>
    </row>
    <row r="78" spans="1:26" s="24" customFormat="1" hidden="1" outlineLevel="2" x14ac:dyDescent="0.25">
      <c r="A78" s="29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3"/>
        <v>0</v>
      </c>
      <c r="G78" s="2"/>
      <c r="H78" s="6">
        <v>55.13</v>
      </c>
      <c r="I78" s="2"/>
      <c r="J78" s="7">
        <f t="shared" si="54"/>
        <v>1.2667477005300902E-3</v>
      </c>
      <c r="K78" s="2"/>
      <c r="L78" s="6">
        <f t="shared" si="55"/>
        <v>-55.13</v>
      </c>
      <c r="M78" s="2"/>
      <c r="N78" s="7">
        <f t="shared" si="56"/>
        <v>-1</v>
      </c>
      <c r="O78" s="11"/>
      <c r="P78" s="6"/>
      <c r="Q78" s="2"/>
      <c r="R78" s="7">
        <f t="shared" si="57"/>
        <v>0</v>
      </c>
      <c r="S78" s="2"/>
      <c r="T78" s="6">
        <v>310.91000000000003</v>
      </c>
      <c r="U78" s="2"/>
      <c r="V78" s="7">
        <f t="shared" si="58"/>
        <v>5.3704804084819422E-3</v>
      </c>
      <c r="W78" s="2"/>
      <c r="X78" s="6">
        <f t="shared" si="59"/>
        <v>-310.91000000000003</v>
      </c>
      <c r="Y78" s="2"/>
      <c r="Z78" s="7">
        <f t="shared" si="60"/>
        <v>-1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53"/>
        <v>0</v>
      </c>
      <c r="G79" s="2"/>
      <c r="H79" s="6">
        <v>5932</v>
      </c>
      <c r="I79" s="2"/>
      <c r="J79" s="7">
        <f t="shared" si="54"/>
        <v>0.13630232830662969</v>
      </c>
      <c r="K79" s="2"/>
      <c r="L79" s="6">
        <f t="shared" si="55"/>
        <v>-5932</v>
      </c>
      <c r="M79" s="2"/>
      <c r="N79" s="7">
        <f t="shared" si="56"/>
        <v>-1</v>
      </c>
      <c r="O79" s="11"/>
      <c r="P79" s="6">
        <v>193.5</v>
      </c>
      <c r="Q79" s="2"/>
      <c r="R79" s="7">
        <f t="shared" si="57"/>
        <v>5.0563577453327133E-4</v>
      </c>
      <c r="S79" s="2"/>
      <c r="T79" s="6">
        <v>6881.86</v>
      </c>
      <c r="U79" s="2"/>
      <c r="V79" s="7">
        <f t="shared" si="58"/>
        <v>0.11887328906730414</v>
      </c>
      <c r="W79" s="2"/>
      <c r="X79" s="6">
        <f t="shared" si="59"/>
        <v>-6688.36</v>
      </c>
      <c r="Y79" s="2"/>
      <c r="Z79" s="7">
        <f t="shared" si="60"/>
        <v>-0.97188260150598815</v>
      </c>
    </row>
    <row r="80" spans="1:26" s="24" customFormat="1" hidden="1" outlineLevel="2" x14ac:dyDescent="0.25">
      <c r="A80" s="29"/>
      <c r="B80" s="11" t="str">
        <f>CONCATENATE("          ", "6237", " - ", "JANITORIAL SUPPLIES")</f>
        <v xml:space="preserve">          6237 - JANITORIAL SUPPLIES</v>
      </c>
      <c r="C80" s="11"/>
      <c r="D80" s="6">
        <v>804.12</v>
      </c>
      <c r="E80" s="2"/>
      <c r="F80" s="7">
        <f t="shared" si="53"/>
        <v>4.4539701855627048E-3</v>
      </c>
      <c r="G80" s="2"/>
      <c r="H80" s="6">
        <v>268.05</v>
      </c>
      <c r="I80" s="2"/>
      <c r="J80" s="7">
        <f t="shared" si="54"/>
        <v>6.1591097610573312E-3</v>
      </c>
      <c r="K80" s="2"/>
      <c r="L80" s="6">
        <f t="shared" si="55"/>
        <v>536.06999999999994</v>
      </c>
      <c r="M80" s="2"/>
      <c r="N80" s="7">
        <f t="shared" si="56"/>
        <v>1.9998880805819808</v>
      </c>
      <c r="O80" s="11"/>
      <c r="P80" s="6">
        <v>4448.8500000000004</v>
      </c>
      <c r="Q80" s="2"/>
      <c r="R80" s="7">
        <f t="shared" si="57"/>
        <v>1.1625311191381625E-2</v>
      </c>
      <c r="S80" s="2"/>
      <c r="T80" s="6">
        <v>268.05</v>
      </c>
      <c r="U80" s="2"/>
      <c r="V80" s="7">
        <f t="shared" si="58"/>
        <v>4.6301414347997318E-3</v>
      </c>
      <c r="W80" s="2"/>
      <c r="X80" s="6">
        <f t="shared" si="59"/>
        <v>4180.8</v>
      </c>
      <c r="Y80" s="2"/>
      <c r="Z80" s="7">
        <f t="shared" si="60"/>
        <v>15.597090095131506</v>
      </c>
    </row>
    <row r="81" spans="1:26" s="24" customFormat="1" hidden="1" outlineLevel="2" x14ac:dyDescent="0.25">
      <c r="A81" s="29"/>
      <c r="B81" s="11" t="str">
        <f>CONCATENATE("          ", "6239", " - ", "KITCHEN SUPPLIES")</f>
        <v xml:space="preserve">          6239 - KITCHEN SUPPLIES</v>
      </c>
      <c r="C81" s="11"/>
      <c r="D81" s="6">
        <v>920.86</v>
      </c>
      <c r="E81" s="2"/>
      <c r="F81" s="7">
        <f t="shared" si="53"/>
        <v>5.1005857149147788E-3</v>
      </c>
      <c r="G81" s="2"/>
      <c r="H81" s="6">
        <v>19.829999999999998</v>
      </c>
      <c r="I81" s="2"/>
      <c r="J81" s="7">
        <f t="shared" si="54"/>
        <v>4.5564315076204758E-4</v>
      </c>
      <c r="K81" s="2"/>
      <c r="L81" s="6">
        <f t="shared" si="55"/>
        <v>901.03</v>
      </c>
      <c r="M81" s="2"/>
      <c r="N81" s="7">
        <f t="shared" si="56"/>
        <v>45.43772062531518</v>
      </c>
      <c r="O81" s="11"/>
      <c r="P81" s="6">
        <v>1992.05</v>
      </c>
      <c r="Q81" s="2"/>
      <c r="R81" s="7">
        <f t="shared" si="57"/>
        <v>5.2054353729147455E-3</v>
      </c>
      <c r="S81" s="2"/>
      <c r="T81" s="6">
        <v>19.829999999999998</v>
      </c>
      <c r="U81" s="2"/>
      <c r="V81" s="7">
        <f t="shared" si="58"/>
        <v>3.4253200765558167E-4</v>
      </c>
      <c r="W81" s="2"/>
      <c r="X81" s="6">
        <f t="shared" si="59"/>
        <v>1972.22</v>
      </c>
      <c r="Y81" s="2"/>
      <c r="Z81" s="7">
        <f t="shared" si="60"/>
        <v>99.456379223398898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6">
        <v>4114.0200000000004</v>
      </c>
      <c r="E82" s="2"/>
      <c r="F82" s="7">
        <f t="shared" si="53"/>
        <v>2.2787298441536933E-2</v>
      </c>
      <c r="G82" s="2"/>
      <c r="H82" s="6">
        <v>117.75</v>
      </c>
      <c r="I82" s="2"/>
      <c r="J82" s="7">
        <f t="shared" si="54"/>
        <v>2.7055966213933992E-3</v>
      </c>
      <c r="K82" s="2"/>
      <c r="L82" s="6">
        <f t="shared" si="55"/>
        <v>3996.2700000000004</v>
      </c>
      <c r="M82" s="2"/>
      <c r="N82" s="7">
        <f t="shared" si="56"/>
        <v>33.938598726114655</v>
      </c>
      <c r="O82" s="11"/>
      <c r="P82" s="6">
        <v>6175.88</v>
      </c>
      <c r="Q82" s="2"/>
      <c r="R82" s="7">
        <f t="shared" si="57"/>
        <v>1.6138221536044134E-2</v>
      </c>
      <c r="S82" s="2"/>
      <c r="T82" s="6">
        <v>-29123.33</v>
      </c>
      <c r="U82" s="2"/>
      <c r="V82" s="7">
        <f t="shared" si="58"/>
        <v>-0.50305964168008233</v>
      </c>
      <c r="W82" s="2"/>
      <c r="X82" s="6">
        <f t="shared" si="59"/>
        <v>35299.21</v>
      </c>
      <c r="Y82" s="2"/>
      <c r="Z82" s="7">
        <f t="shared" si="60"/>
        <v>-1.2120595412681172</v>
      </c>
    </row>
    <row r="83" spans="1:26" s="24" customFormat="1" hidden="1" outlineLevel="2" x14ac:dyDescent="0.25">
      <c r="A83" s="29"/>
      <c r="B83" s="11" t="str">
        <f>CONCATENATE("          ", "6243", " - ", "PAPER SUPPLIES")</f>
        <v xml:space="preserve">          6243 - PAPER SUPPLIES</v>
      </c>
      <c r="C83" s="11"/>
      <c r="D83" s="6">
        <v>648.79999999999995</v>
      </c>
      <c r="E83" s="2"/>
      <c r="F83" s="7">
        <f t="shared" si="53"/>
        <v>3.5936624588283868E-3</v>
      </c>
      <c r="G83" s="2"/>
      <c r="H83" s="6"/>
      <c r="I83" s="2"/>
      <c r="J83" s="7">
        <f t="shared" si="54"/>
        <v>0</v>
      </c>
      <c r="K83" s="2"/>
      <c r="L83" s="6">
        <f t="shared" si="55"/>
        <v>648.79999999999995</v>
      </c>
      <c r="M83" s="2"/>
      <c r="N83" s="7">
        <f t="shared" si="56"/>
        <v>0</v>
      </c>
      <c r="O83" s="11"/>
      <c r="P83" s="6">
        <v>1185.5899999999999</v>
      </c>
      <c r="Q83" s="2"/>
      <c r="R83" s="7">
        <f t="shared" si="57"/>
        <v>3.0980708936894116E-3</v>
      </c>
      <c r="S83" s="2"/>
      <c r="T83" s="6"/>
      <c r="U83" s="2"/>
      <c r="V83" s="7">
        <f t="shared" si="58"/>
        <v>0</v>
      </c>
      <c r="W83" s="2"/>
      <c r="X83" s="6">
        <f t="shared" si="59"/>
        <v>1185.5899999999999</v>
      </c>
      <c r="Y83" s="2"/>
      <c r="Z83" s="7">
        <f t="shared" si="60"/>
        <v>0</v>
      </c>
    </row>
    <row r="84" spans="1:26" s="24" customFormat="1" hidden="1" outlineLevel="2" x14ac:dyDescent="0.25">
      <c r="A84" s="29"/>
      <c r="B84" s="11" t="str">
        <f>CONCATENATE("          ", "6245", " - ", "PRINTING")</f>
        <v xml:space="preserve">          6245 - PRINTING</v>
      </c>
      <c r="C84" s="11"/>
      <c r="D84" s="6">
        <v>1071</v>
      </c>
      <c r="E84" s="2"/>
      <c r="F84" s="7">
        <f t="shared" si="53"/>
        <v>5.932201746925405E-3</v>
      </c>
      <c r="G84" s="2"/>
      <c r="H84" s="6"/>
      <c r="I84" s="2"/>
      <c r="J84" s="7">
        <f t="shared" si="54"/>
        <v>0</v>
      </c>
      <c r="K84" s="2"/>
      <c r="L84" s="6">
        <f t="shared" si="55"/>
        <v>1071</v>
      </c>
      <c r="M84" s="2"/>
      <c r="N84" s="7">
        <f t="shared" si="56"/>
        <v>0</v>
      </c>
      <c r="O84" s="11"/>
      <c r="P84" s="6">
        <v>1071</v>
      </c>
      <c r="Q84" s="2"/>
      <c r="R84" s="7">
        <f t="shared" si="57"/>
        <v>2.7986352171841533E-3</v>
      </c>
      <c r="S84" s="2"/>
      <c r="T84" s="6"/>
      <c r="U84" s="2"/>
      <c r="V84" s="7">
        <f t="shared" si="58"/>
        <v>0</v>
      </c>
      <c r="W84" s="2"/>
      <c r="X84" s="6">
        <f t="shared" si="59"/>
        <v>1071</v>
      </c>
      <c r="Y84" s="2"/>
      <c r="Z84" s="7">
        <f t="shared" si="60"/>
        <v>0</v>
      </c>
    </row>
    <row r="85" spans="1:26" s="24" customFormat="1" hidden="1" outlineLevel="2" x14ac:dyDescent="0.25">
      <c r="A85" s="29"/>
      <c r="B85" s="11" t="str">
        <f>CONCATENATE("          ", "6247", " - ", "STORE SUPPLIES")</f>
        <v xml:space="preserve">          6247 - STORE SUPPLIES</v>
      </c>
      <c r="C85" s="11"/>
      <c r="D85" s="6">
        <v>146.63</v>
      </c>
      <c r="E85" s="2"/>
      <c r="F85" s="7">
        <f t="shared" si="53"/>
        <v>8.1217436241986184E-4</v>
      </c>
      <c r="G85" s="2"/>
      <c r="H85" s="6"/>
      <c r="I85" s="2"/>
      <c r="J85" s="7">
        <f t="shared" si="54"/>
        <v>0</v>
      </c>
      <c r="K85" s="2"/>
      <c r="L85" s="6">
        <f t="shared" si="55"/>
        <v>146.63</v>
      </c>
      <c r="M85" s="2"/>
      <c r="N85" s="7">
        <f t="shared" si="56"/>
        <v>0</v>
      </c>
      <c r="O85" s="11"/>
      <c r="P85" s="6">
        <v>560.61</v>
      </c>
      <c r="Q85" s="2"/>
      <c r="R85" s="7">
        <f t="shared" si="57"/>
        <v>1.464932669566394E-3</v>
      </c>
      <c r="S85" s="2"/>
      <c r="T85" s="6"/>
      <c r="U85" s="2"/>
      <c r="V85" s="7">
        <f t="shared" si="58"/>
        <v>0</v>
      </c>
      <c r="W85" s="2"/>
      <c r="X85" s="6">
        <f t="shared" si="59"/>
        <v>560.61</v>
      </c>
      <c r="Y85" s="2"/>
      <c r="Z85" s="7">
        <f t="shared" si="60"/>
        <v>0</v>
      </c>
    </row>
    <row r="86" spans="1:26" s="28" customFormat="1" outlineLevel="1" collapsed="1" x14ac:dyDescent="0.25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SUM(OSRRefD22_18x_0)</f>
        <v>988.61</v>
      </c>
      <c r="E86" s="1"/>
      <c r="F86" s="5">
        <f t="shared" ref="F86:F91" si="61">IF(D$12=0,0,D86/D$12)</f>
        <v>5.4758487105769603E-3</v>
      </c>
      <c r="G86" s="1"/>
      <c r="H86" s="1">
        <f>SUM(OSRRefH22_18x_0)</f>
        <v>364.66</v>
      </c>
      <c r="I86" s="1"/>
      <c r="J86" s="5">
        <f t="shared" ref="J86:J91" si="62">IF(H$12=0,0,H86/H$12)</f>
        <v>8.3789627512298685E-3</v>
      </c>
      <c r="K86" s="1"/>
      <c r="L86" s="1">
        <f t="shared" ref="L86:L91" si="63">+D86-H86</f>
        <v>623.95000000000005</v>
      </c>
      <c r="M86" s="1"/>
      <c r="N86" s="5">
        <f t="shared" ref="N86:N91" si="64">IF(H86=0,0,L86/H86)</f>
        <v>1.7110459057752427</v>
      </c>
      <c r="O86" s="14"/>
      <c r="P86" s="1">
        <f>SUM(OSRRefP22_18x_0)</f>
        <v>2881.39</v>
      </c>
      <c r="Q86" s="1"/>
      <c r="R86" s="5">
        <f t="shared" ref="R86:R91" si="65">IF(P$12=0,0,P86/P$12)</f>
        <v>7.5293739761365516E-3</v>
      </c>
      <c r="S86" s="1"/>
      <c r="T86" s="1">
        <f>SUM(OSRRefT22_18x_0)</f>
        <v>3436.07</v>
      </c>
      <c r="U86" s="1"/>
      <c r="V86" s="5">
        <f t="shared" ref="V86:V91" si="66">IF(T$12=0,0,T86/T$12)</f>
        <v>5.9352695690626053E-2</v>
      </c>
      <c r="W86" s="1"/>
      <c r="X86" s="1">
        <f t="shared" ref="X86:X91" si="67">+P86-T86</f>
        <v>-554.68000000000029</v>
      </c>
      <c r="Y86" s="1"/>
      <c r="Z86" s="5">
        <f t="shared" ref="Z86:Z91" si="68">IF(T86=0,0,X86/T86)</f>
        <v>-0.16142860884673488</v>
      </c>
    </row>
    <row r="87" spans="1:26" s="24" customFormat="1" hidden="1" outlineLevel="2" x14ac:dyDescent="0.25">
      <c r="A87" s="29"/>
      <c r="B87" s="11" t="str">
        <f>CONCATENATE("          ", "6309", " - ", "TELEPHONE")</f>
        <v xml:space="preserve">          6309 - TELEPHONE</v>
      </c>
      <c r="C87" s="11"/>
      <c r="D87" s="6">
        <v>988.61</v>
      </c>
      <c r="E87" s="2"/>
      <c r="F87" s="7">
        <f t="shared" si="61"/>
        <v>5.4758487105769603E-3</v>
      </c>
      <c r="G87" s="2"/>
      <c r="H87" s="6">
        <v>364.66</v>
      </c>
      <c r="I87" s="2"/>
      <c r="J87" s="7">
        <f t="shared" si="62"/>
        <v>8.3789627512298685E-3</v>
      </c>
      <c r="K87" s="2"/>
      <c r="L87" s="6">
        <f t="shared" si="63"/>
        <v>623.95000000000005</v>
      </c>
      <c r="M87" s="2"/>
      <c r="N87" s="7">
        <f t="shared" si="64"/>
        <v>1.7110459057752427</v>
      </c>
      <c r="O87" s="11"/>
      <c r="P87" s="6">
        <v>2881.39</v>
      </c>
      <c r="Q87" s="2"/>
      <c r="R87" s="7">
        <f t="shared" si="65"/>
        <v>7.5293739761365516E-3</v>
      </c>
      <c r="S87" s="2"/>
      <c r="T87" s="6">
        <v>3436.07</v>
      </c>
      <c r="U87" s="2"/>
      <c r="V87" s="7">
        <f t="shared" si="66"/>
        <v>5.9352695690626053E-2</v>
      </c>
      <c r="W87" s="2"/>
      <c r="X87" s="6">
        <f t="shared" si="67"/>
        <v>-554.68000000000029</v>
      </c>
      <c r="Y87" s="2"/>
      <c r="Z87" s="7">
        <f t="shared" si="68"/>
        <v>-0.16142860884673488</v>
      </c>
    </row>
    <row r="88" spans="1:26" s="28" customFormat="1" outlineLevel="1" collapsed="1" x14ac:dyDescent="0.25">
      <c r="A88" s="27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SUM(OSRRefD22_19x_0)</f>
        <v>0</v>
      </c>
      <c r="E88" s="1"/>
      <c r="F88" s="5">
        <f t="shared" si="61"/>
        <v>0</v>
      </c>
      <c r="G88" s="1"/>
      <c r="H88" s="1">
        <f>SUM(OSRRefH22_19x_0)</f>
        <v>0</v>
      </c>
      <c r="I88" s="1"/>
      <c r="J88" s="5">
        <f t="shared" si="62"/>
        <v>0</v>
      </c>
      <c r="K88" s="1"/>
      <c r="L88" s="1">
        <f t="shared" si="63"/>
        <v>0</v>
      </c>
      <c r="M88" s="1"/>
      <c r="N88" s="5">
        <f t="shared" si="64"/>
        <v>0</v>
      </c>
      <c r="O88" s="14"/>
      <c r="P88" s="1">
        <f>SUM(OSRRefP22_19x_0)</f>
        <v>0</v>
      </c>
      <c r="Q88" s="1"/>
      <c r="R88" s="5">
        <f t="shared" si="65"/>
        <v>0</v>
      </c>
      <c r="S88" s="1"/>
      <c r="T88" s="1">
        <f>SUM(OSRRefT22_19x_0)</f>
        <v>332.21</v>
      </c>
      <c r="U88" s="1"/>
      <c r="V88" s="5">
        <f t="shared" si="66"/>
        <v>5.7384043501392222E-3</v>
      </c>
      <c r="W88" s="1"/>
      <c r="X88" s="1">
        <f t="shared" si="67"/>
        <v>-332.21</v>
      </c>
      <c r="Y88" s="1"/>
      <c r="Z88" s="5">
        <f t="shared" si="68"/>
        <v>-1</v>
      </c>
    </row>
    <row r="89" spans="1:26" s="24" customFormat="1" hidden="1" outlineLevel="2" x14ac:dyDescent="0.25">
      <c r="A89" s="29"/>
      <c r="B89" s="11" t="str">
        <f>CONCATENATE("          ", "6298", " - ", "VEHICLE MILEAGE")</f>
        <v xml:space="preserve">          6298 - VEHICLE MILEAGE</v>
      </c>
      <c r="C89" s="11"/>
      <c r="D89" s="6"/>
      <c r="E89" s="2"/>
      <c r="F89" s="7">
        <f t="shared" si="61"/>
        <v>0</v>
      </c>
      <c r="G89" s="2"/>
      <c r="H89" s="6"/>
      <c r="I89" s="2"/>
      <c r="J89" s="7">
        <f t="shared" si="62"/>
        <v>0</v>
      </c>
      <c r="K89" s="2"/>
      <c r="L89" s="6">
        <f t="shared" si="63"/>
        <v>0</v>
      </c>
      <c r="M89" s="2"/>
      <c r="N89" s="7">
        <f t="shared" si="64"/>
        <v>0</v>
      </c>
      <c r="O89" s="11"/>
      <c r="P89" s="6"/>
      <c r="Q89" s="2"/>
      <c r="R89" s="7">
        <f t="shared" si="65"/>
        <v>0</v>
      </c>
      <c r="S89" s="2"/>
      <c r="T89" s="6">
        <v>332.21</v>
      </c>
      <c r="U89" s="2"/>
      <c r="V89" s="7">
        <f t="shared" si="66"/>
        <v>5.7384043501392222E-3</v>
      </c>
      <c r="W89" s="2"/>
      <c r="X89" s="6">
        <f t="shared" si="67"/>
        <v>-332.21</v>
      </c>
      <c r="Y89" s="2"/>
      <c r="Z89" s="7">
        <f t="shared" si="68"/>
        <v>-1</v>
      </c>
    </row>
    <row r="90" spans="1:26" s="28" customFormat="1" outlineLevel="1" collapsed="1" x14ac:dyDescent="0.25">
      <c r="A90" s="27"/>
      <c r="B90" s="14" t="str">
        <f>CONCATENATE("     ","Utilities                                         ")</f>
        <v xml:space="preserve">     Utilities                                         </v>
      </c>
      <c r="C90" s="14"/>
      <c r="D90" s="1">
        <f>SUM(OSRRefD22_20x_0)</f>
        <v>5750</v>
      </c>
      <c r="E90" s="1"/>
      <c r="F90" s="5">
        <f t="shared" si="61"/>
        <v>3.1848888930738631E-2</v>
      </c>
      <c r="G90" s="1"/>
      <c r="H90" s="1">
        <f>SUM(OSRRefH22_20x_0)</f>
        <v>-13228</v>
      </c>
      <c r="I90" s="1"/>
      <c r="J90" s="5">
        <f t="shared" si="62"/>
        <v>-0.30394592023602451</v>
      </c>
      <c r="K90" s="1"/>
      <c r="L90" s="1">
        <f t="shared" si="63"/>
        <v>18978</v>
      </c>
      <c r="M90" s="1"/>
      <c r="N90" s="5">
        <f t="shared" si="64"/>
        <v>-1.4346840036286665</v>
      </c>
      <c r="O90" s="14"/>
      <c r="P90" s="1">
        <f>SUM(OSRRefP22_20x_0)</f>
        <v>30200</v>
      </c>
      <c r="Q90" s="1"/>
      <c r="R90" s="5">
        <f t="shared" si="65"/>
        <v>7.8915764294081633E-2</v>
      </c>
      <c r="S90" s="1"/>
      <c r="T90" s="1">
        <f>SUM(OSRRefT22_20x_0)</f>
        <v>-6328</v>
      </c>
      <c r="U90" s="1"/>
      <c r="V90" s="5">
        <f t="shared" si="66"/>
        <v>-0.10930623017874538</v>
      </c>
      <c r="W90" s="1"/>
      <c r="X90" s="1">
        <f t="shared" si="67"/>
        <v>36528</v>
      </c>
      <c r="Y90" s="1"/>
      <c r="Z90" s="5">
        <f t="shared" si="68"/>
        <v>-5.7724399494311003</v>
      </c>
    </row>
    <row r="91" spans="1:26" s="24" customFormat="1" hidden="1" outlineLevel="2" x14ac:dyDescent="0.25">
      <c r="A91" s="29"/>
      <c r="B91" s="11" t="str">
        <f>CONCATENATE("          ", "6274", " - ", "UTILITIES")</f>
        <v xml:space="preserve">          6274 - UTILITIES</v>
      </c>
      <c r="C91" s="11"/>
      <c r="D91" s="6">
        <v>5750</v>
      </c>
      <c r="E91" s="2"/>
      <c r="F91" s="7">
        <f t="shared" si="61"/>
        <v>3.1848888930738631E-2</v>
      </c>
      <c r="G91" s="2"/>
      <c r="H91" s="6">
        <v>-13228</v>
      </c>
      <c r="I91" s="2"/>
      <c r="J91" s="7">
        <f t="shared" si="62"/>
        <v>-0.30394592023602451</v>
      </c>
      <c r="K91" s="2"/>
      <c r="L91" s="6">
        <f t="shared" si="63"/>
        <v>18978</v>
      </c>
      <c r="M91" s="2"/>
      <c r="N91" s="7">
        <f t="shared" si="64"/>
        <v>-1.4346840036286665</v>
      </c>
      <c r="O91" s="11"/>
      <c r="P91" s="6">
        <v>30200</v>
      </c>
      <c r="Q91" s="2"/>
      <c r="R91" s="7">
        <f t="shared" si="65"/>
        <v>7.8915764294081633E-2</v>
      </c>
      <c r="S91" s="2"/>
      <c r="T91" s="6">
        <v>-6328</v>
      </c>
      <c r="U91" s="2"/>
      <c r="V91" s="7">
        <f t="shared" si="66"/>
        <v>-0.10930623017874538</v>
      </c>
      <c r="W91" s="2"/>
      <c r="X91" s="6">
        <f t="shared" si="67"/>
        <v>36528</v>
      </c>
      <c r="Y91" s="2"/>
      <c r="Z91" s="7">
        <f t="shared" si="68"/>
        <v>-5.7724399494311003</v>
      </c>
    </row>
    <row r="92" spans="1:26" s="56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5" t="s">
        <v>292</v>
      </c>
      <c r="C93" s="10"/>
      <c r="D93" s="4">
        <f>SUM(OSRRefD25x_0)</f>
        <v>6812.67</v>
      </c>
      <c r="E93" s="4"/>
      <c r="F93" s="12">
        <f t="shared" ref="F93:F96" si="69">IF(D$12=0,0,D93/D$12)</f>
        <v>3.7734951330743505E-2</v>
      </c>
      <c r="G93" s="4"/>
      <c r="H93" s="4">
        <f>SUM(OSRRefH25x_0)</f>
        <v>457.28</v>
      </c>
      <c r="I93" s="4"/>
      <c r="J93" s="12">
        <f t="shared" ref="J93:J96" si="70">IF(H$12=0,0,H93/H$12)</f>
        <v>1.0507135652066018E-2</v>
      </c>
      <c r="K93" s="4"/>
      <c r="L93" s="4">
        <f t="shared" ref="L93:L96" si="71">+D93-H93</f>
        <v>6355.39</v>
      </c>
      <c r="M93" s="4"/>
      <c r="N93" s="12">
        <f t="shared" ref="N93:N96" si="72">IF(H93=0,0,L93/H93)</f>
        <v>13.898246151154655</v>
      </c>
      <c r="O93" s="10"/>
      <c r="P93" s="4">
        <f>SUM(OSRRefP25x_0)</f>
        <v>24006.720000000001</v>
      </c>
      <c r="Q93" s="4"/>
      <c r="R93" s="12">
        <f t="shared" ref="R93:R96" si="73">IF(P$12=0,0,P93/P$12)</f>
        <v>6.2732074734901166E-2</v>
      </c>
      <c r="S93" s="4"/>
      <c r="T93" s="4">
        <f>SUM(OSRRefT25x_0)</f>
        <v>4077.2</v>
      </c>
      <c r="U93" s="4"/>
      <c r="V93" s="12">
        <f t="shared" ref="V93:V96" si="74">IF(T$12=0,0,T93/T$12)</f>
        <v>7.0427206334510217E-2</v>
      </c>
      <c r="W93" s="4"/>
      <c r="X93" s="4">
        <f t="shared" ref="X93:X96" si="75">+P93-T93</f>
        <v>19929.52</v>
      </c>
      <c r="Y93" s="4"/>
      <c r="Z93" s="12">
        <f t="shared" ref="Z93:Z96" si="76">IF(T93=0,0,X93/T93)</f>
        <v>4.8880408123221821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>--6812.67</f>
        <v>6812.67</v>
      </c>
      <c r="E94" s="2"/>
      <c r="F94" s="19">
        <f t="shared" si="69"/>
        <v>3.7734951330743505E-2</v>
      </c>
      <c r="G94" s="2"/>
      <c r="H94" s="2">
        <f>--119.09</f>
        <v>119.09</v>
      </c>
      <c r="I94" s="2"/>
      <c r="J94" s="19">
        <f t="shared" si="70"/>
        <v>2.7363864258321863E-3</v>
      </c>
      <c r="K94" s="2"/>
      <c r="L94" s="2">
        <f t="shared" si="71"/>
        <v>6693.58</v>
      </c>
      <c r="M94" s="2"/>
      <c r="N94" s="19">
        <f t="shared" si="72"/>
        <v>56.206062641699553</v>
      </c>
      <c r="O94" s="11"/>
      <c r="P94" s="2">
        <f>--24006.72</f>
        <v>24006.720000000001</v>
      </c>
      <c r="Q94" s="2"/>
      <c r="R94" s="19">
        <f t="shared" si="73"/>
        <v>6.2732074734901166E-2</v>
      </c>
      <c r="S94" s="2"/>
      <c r="T94" s="2">
        <f>--923.77</f>
        <v>923.77</v>
      </c>
      <c r="U94" s="2"/>
      <c r="V94" s="19">
        <f t="shared" si="74"/>
        <v>1.5956671342006894E-2</v>
      </c>
      <c r="W94" s="2"/>
      <c r="X94" s="2">
        <f t="shared" si="75"/>
        <v>23082.95</v>
      </c>
      <c r="Y94" s="2"/>
      <c r="Z94" s="19">
        <f t="shared" si="76"/>
        <v>24.987767517888653</v>
      </c>
    </row>
    <row r="95" spans="1:26" s="24" customFormat="1" hidden="1" outlineLevel="1" x14ac:dyDescent="0.25">
      <c r="A95" s="44"/>
      <c r="B95" s="11" t="str">
        <f>CONCATENATE("          ", "9160", " - ", "MISC. INCOME")</f>
        <v xml:space="preserve">          9160 - MISC. INCOME</v>
      </c>
      <c r="C95" s="11"/>
      <c r="D95" s="2">
        <f t="shared" ref="D95:D96" si="77">0</f>
        <v>0</v>
      </c>
      <c r="E95" s="2"/>
      <c r="F95" s="19">
        <f t="shared" si="69"/>
        <v>0</v>
      </c>
      <c r="G95" s="2"/>
      <c r="H95" s="2">
        <f>--338.19</f>
        <v>338.19</v>
      </c>
      <c r="I95" s="2"/>
      <c r="J95" s="19">
        <f t="shared" si="70"/>
        <v>7.7707492262338324E-3</v>
      </c>
      <c r="K95" s="2"/>
      <c r="L95" s="2">
        <f t="shared" si="71"/>
        <v>-338.19</v>
      </c>
      <c r="M95" s="2"/>
      <c r="N95" s="19">
        <f t="shared" si="72"/>
        <v>-1</v>
      </c>
      <c r="O95" s="11"/>
      <c r="P95" s="2">
        <f t="shared" ref="P95:P96" si="78">0</f>
        <v>0</v>
      </c>
      <c r="Q95" s="2"/>
      <c r="R95" s="19">
        <f t="shared" si="73"/>
        <v>0</v>
      </c>
      <c r="S95" s="2"/>
      <c r="T95" s="2">
        <f>--2328.25</f>
        <v>2328.25</v>
      </c>
      <c r="U95" s="2"/>
      <c r="V95" s="19">
        <f t="shared" si="74"/>
        <v>4.0216850571059407E-2</v>
      </c>
      <c r="W95" s="2"/>
      <c r="X95" s="2">
        <f t="shared" si="75"/>
        <v>-2328.25</v>
      </c>
      <c r="Y95" s="2"/>
      <c r="Z95" s="19">
        <f t="shared" si="76"/>
        <v>-1</v>
      </c>
    </row>
    <row r="96" spans="1:26" s="24" customFormat="1" hidden="1" outlineLevel="1" x14ac:dyDescent="0.25">
      <c r="A96" s="44"/>
      <c r="B96" s="11" t="str">
        <f>CONCATENATE("          ", "9165", " - ", "OTHER INCOME")</f>
        <v xml:space="preserve">          9165 - OTHER INCOME</v>
      </c>
      <c r="C96" s="11"/>
      <c r="D96" s="2">
        <f t="shared" si="77"/>
        <v>0</v>
      </c>
      <c r="E96" s="2"/>
      <c r="F96" s="19">
        <f t="shared" si="69"/>
        <v>0</v>
      </c>
      <c r="G96" s="2"/>
      <c r="H96" s="2">
        <f>0</f>
        <v>0</v>
      </c>
      <c r="I96" s="2"/>
      <c r="J96" s="19">
        <f t="shared" si="70"/>
        <v>0</v>
      </c>
      <c r="K96" s="2"/>
      <c r="L96" s="2">
        <f t="shared" si="71"/>
        <v>0</v>
      </c>
      <c r="M96" s="2"/>
      <c r="N96" s="19">
        <f t="shared" si="72"/>
        <v>0</v>
      </c>
      <c r="O96" s="11"/>
      <c r="P96" s="2">
        <f t="shared" si="78"/>
        <v>0</v>
      </c>
      <c r="Q96" s="2"/>
      <c r="R96" s="19">
        <f t="shared" si="73"/>
        <v>0</v>
      </c>
      <c r="S96" s="2"/>
      <c r="T96" s="2">
        <f>--825.18</f>
        <v>825.18</v>
      </c>
      <c r="U96" s="2"/>
      <c r="V96" s="19">
        <f t="shared" si="74"/>
        <v>1.4253684421443917E-2</v>
      </c>
      <c r="W96" s="2"/>
      <c r="X96" s="2">
        <f t="shared" si="75"/>
        <v>-825.18</v>
      </c>
      <c r="Y96" s="2"/>
      <c r="Z96" s="19">
        <f t="shared" si="76"/>
        <v>-1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6" t="s">
        <v>276</v>
      </c>
      <c r="C98" s="26"/>
      <c r="D98" s="22">
        <f>+D23-D25+D93</f>
        <v>-99954.039999999921</v>
      </c>
      <c r="E98" s="13"/>
      <c r="F98" s="20">
        <f>IF(D$12=0,0,D98/D$12)</f>
        <v>-0.55363915098062677</v>
      </c>
      <c r="G98" s="13"/>
      <c r="H98" s="22">
        <f>+H23-H25+H93</f>
        <v>-79392.160000000018</v>
      </c>
      <c r="I98" s="13"/>
      <c r="J98" s="20">
        <f>IF(H$12=0,0,H98/H$12)</f>
        <v>-1.8242306569946856</v>
      </c>
      <c r="K98" s="15"/>
      <c r="L98" s="22">
        <f>+D98-H98</f>
        <v>-20561.879999999903</v>
      </c>
      <c r="M98" s="15"/>
      <c r="N98" s="20">
        <f>IF(H98=0,0,L98/H98)</f>
        <v>0.25899131601911196</v>
      </c>
      <c r="O98" s="25"/>
      <c r="P98" s="22">
        <f>+P23-P25+P93</f>
        <v>-472053.27999999991</v>
      </c>
      <c r="Q98" s="13"/>
      <c r="R98" s="20">
        <f>IF(P$12=0,0,P98/P$12)</f>
        <v>-1.2335246814148382</v>
      </c>
      <c r="S98" s="13"/>
      <c r="T98" s="22">
        <f>+T23-T25+T93</f>
        <v>-397198.90000000014</v>
      </c>
      <c r="U98" s="13"/>
      <c r="V98" s="20">
        <f>IF(T$12=0,0,T98/T$12)</f>
        <v>-6.860985207039267</v>
      </c>
      <c r="W98" s="15"/>
      <c r="X98" s="22">
        <f>+P98-T98</f>
        <v>-74854.379999999772</v>
      </c>
      <c r="Y98" s="15"/>
      <c r="Z98" s="20">
        <f>IF(T98=0,0,X98/T98)</f>
        <v>0.18845565785806492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1"/>
      <c r="B100" s="10" t="s">
        <v>127</v>
      </c>
      <c r="C100" s="10"/>
      <c r="D100" s="4">
        <v>19214.59</v>
      </c>
      <c r="E100" s="4"/>
      <c r="F100" s="12">
        <f>IF(D$12=0,0,D100/D$12)</f>
        <v>0.10642840743646631</v>
      </c>
      <c r="G100" s="4"/>
      <c r="H100" s="4">
        <v>9878.35</v>
      </c>
      <c r="I100" s="4"/>
      <c r="J100" s="12">
        <f>IF(H$12=0,0,H100/H$12)</f>
        <v>0.22697945125215702</v>
      </c>
      <c r="K100" s="4"/>
      <c r="L100" s="4">
        <f>+D100-H100</f>
        <v>9336.24</v>
      </c>
      <c r="M100" s="4"/>
      <c r="N100" s="12">
        <f>IF(H100=0,0,L100/H100)</f>
        <v>0.94512140185354832</v>
      </c>
      <c r="O100" s="10"/>
      <c r="P100" s="4">
        <v>44235.4</v>
      </c>
      <c r="Q100" s="4"/>
      <c r="R100" s="12">
        <f>IF(P$12=0,0,P100/P$12)</f>
        <v>0.11559173509451717</v>
      </c>
      <c r="S100" s="4"/>
      <c r="T100" s="4">
        <v>12540.75</v>
      </c>
      <c r="U100" s="4"/>
      <c r="V100" s="12">
        <f>IF(T$12=0,0,T100/T$12)</f>
        <v>0.21662169818490853</v>
      </c>
      <c r="W100" s="4"/>
      <c r="X100" s="4">
        <f>+P100-T100</f>
        <v>31694.65</v>
      </c>
      <c r="Y100" s="4"/>
      <c r="Z100" s="12">
        <f>IF(T100=0,0,X100/T100)</f>
        <v>2.5273328947630724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125</v>
      </c>
      <c r="C102" s="26"/>
      <c r="D102" s="33">
        <f>+D98-D100</f>
        <v>-119168.62999999992</v>
      </c>
      <c r="E102" s="13"/>
      <c r="F102" s="31">
        <f>IF(D$12=0,0,D102/D$12)</f>
        <v>-0.66006755841709308</v>
      </c>
      <c r="G102" s="13"/>
      <c r="H102" s="33">
        <f>+H98-H100</f>
        <v>-89270.510000000024</v>
      </c>
      <c r="I102" s="13"/>
      <c r="J102" s="31">
        <f>IF(H$12=0,0,H102/H$12)</f>
        <v>-2.0512101082468428</v>
      </c>
      <c r="K102" s="15"/>
      <c r="L102" s="33">
        <f>D102-H102</f>
        <v>-29898.119999999893</v>
      </c>
      <c r="M102" s="15"/>
      <c r="N102" s="31">
        <f>IF(H102=0,0,L102/H102)</f>
        <v>0.33491597617174906</v>
      </c>
      <c r="O102" s="25"/>
      <c r="P102" s="33">
        <f>+P98-P100</f>
        <v>-516288.67999999993</v>
      </c>
      <c r="Q102" s="13"/>
      <c r="R102" s="31">
        <f>IF(P$12=0,0,P102/P$12)</f>
        <v>-1.3491164165093552</v>
      </c>
      <c r="S102" s="13"/>
      <c r="T102" s="33">
        <f>+T98-T100</f>
        <v>-409739.65000000014</v>
      </c>
      <c r="U102" s="13"/>
      <c r="V102" s="31">
        <f>IF(T$12=0,0,T102/T$12)</f>
        <v>-7.0776069052241759</v>
      </c>
      <c r="W102" s="15"/>
      <c r="X102" s="33">
        <f>P102-T102</f>
        <v>-106549.0299999998</v>
      </c>
      <c r="Y102" s="15"/>
      <c r="Z102" s="31">
        <f>IF(T102=0,0,X102/T102)</f>
        <v>0.26004080884044234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6" t="s">
        <v>293</v>
      </c>
      <c r="C105" s="26"/>
      <c r="D105" s="34">
        <f>SUM(D102:D104)</f>
        <v>-119168.62999999992</v>
      </c>
      <c r="E105" s="13"/>
      <c r="F105" s="30">
        <f>IF(D$12=0,0,D105/D$12)</f>
        <v>-0.66006755841709308</v>
      </c>
      <c r="G105" s="13"/>
      <c r="H105" s="34">
        <f>SUM(H102:H104)</f>
        <v>-89270.510000000024</v>
      </c>
      <c r="I105" s="13"/>
      <c r="J105" s="30">
        <f>IF(H$12=0,0,H105/H$12)</f>
        <v>-2.0512101082468428</v>
      </c>
      <c r="K105" s="15"/>
      <c r="L105" s="34">
        <f>+D105-H105</f>
        <v>-29898.119999999893</v>
      </c>
      <c r="M105" s="15"/>
      <c r="N105" s="30">
        <f>IF(H105=0,0,L105/H105)</f>
        <v>0.33491597617174906</v>
      </c>
      <c r="O105" s="25"/>
      <c r="P105" s="34">
        <f>SUM(P102:P104)</f>
        <v>-516288.67999999993</v>
      </c>
      <c r="Q105" s="13"/>
      <c r="R105" s="30">
        <f>IF(P$12=0,0,P105/P$12)</f>
        <v>-1.3491164165093552</v>
      </c>
      <c r="S105" s="13"/>
      <c r="T105" s="34">
        <f>SUM(T102:T104)</f>
        <v>-409739.65000000014</v>
      </c>
      <c r="U105" s="13"/>
      <c r="V105" s="30">
        <f>IF(T$12=0,0,T105/T$12)</f>
        <v>-7.0776069052241759</v>
      </c>
      <c r="W105" s="15"/>
      <c r="X105" s="34">
        <f>+P105-T105</f>
        <v>-106549.0299999998</v>
      </c>
      <c r="Y105" s="15"/>
      <c r="Z105" s="30">
        <f>IF(T105=0,0,X105/T105)</f>
        <v>0.26004080884044234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1">
        <v>44517.967009293985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7" t="s">
        <v>56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8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","405", " - ", "Caffeine Lab")</f>
        <v>Department 405 - Caffeine Lab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87810.260000000009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87810.260000000009</v>
      </c>
      <c r="M12" s="4"/>
      <c r="N12" s="12">
        <f t="shared" ref="N12:N14" si="1">IF(H12=0,0,L12/H12)</f>
        <v>0</v>
      </c>
      <c r="O12" s="10"/>
      <c r="P12" s="4">
        <f>SUM(OSRRefP13x_0)</f>
        <v>169024.22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169024.22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--6578.16</f>
        <v>6578.16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6578.16</v>
      </c>
      <c r="M13" s="2"/>
      <c r="N13" s="19">
        <f t="shared" si="1"/>
        <v>0</v>
      </c>
      <c r="O13" s="11"/>
      <c r="P13" s="2">
        <f>--17848.51</f>
        <v>17848.509999999998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17848.509999999998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--81232.1</f>
        <v>81232.100000000006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81232.100000000006</v>
      </c>
      <c r="M14" s="2"/>
      <c r="N14" s="19">
        <f t="shared" si="1"/>
        <v>0</v>
      </c>
      <c r="O14" s="11"/>
      <c r="P14" s="2">
        <f>--151175.71</f>
        <v>151175.71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151175.71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256</v>
      </c>
      <c r="C16" s="10"/>
      <c r="D16" s="4">
        <f>SUM(OSRRefD16x_0)</f>
        <v>38243.760000000002</v>
      </c>
      <c r="E16" s="4"/>
      <c r="F16" s="12">
        <f t="shared" ref="F16:F18" si="6">IF(D$12=0,0,D16/D$12)</f>
        <v>0.43552723793324377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38243.760000000002</v>
      </c>
      <c r="M16" s="4"/>
      <c r="N16" s="12">
        <f t="shared" ref="N16:N18" si="9">IF(H16=0,0,L16/H16)</f>
        <v>0</v>
      </c>
      <c r="O16" s="10"/>
      <c r="P16" s="4">
        <f>SUM(OSRRefP16x_0)</f>
        <v>69104.72</v>
      </c>
      <c r="Q16" s="4"/>
      <c r="R16" s="12">
        <f t="shared" ref="R16:R18" si="10">IF(P$12=0,0,P16/P$12)</f>
        <v>0.40884507557555955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69104.72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30333.22</v>
      </c>
      <c r="E17" s="2"/>
      <c r="F17" s="19">
        <f t="shared" si="6"/>
        <v>0.34544049863876952</v>
      </c>
      <c r="G17" s="2"/>
      <c r="H17" s="2"/>
      <c r="I17" s="2"/>
      <c r="J17" s="19">
        <f t="shared" si="7"/>
        <v>0</v>
      </c>
      <c r="K17" s="2"/>
      <c r="L17" s="2">
        <f t="shared" si="8"/>
        <v>30333.22</v>
      </c>
      <c r="M17" s="2"/>
      <c r="N17" s="19">
        <f t="shared" si="9"/>
        <v>0</v>
      </c>
      <c r="O17" s="11"/>
      <c r="P17" s="2">
        <v>67082.58</v>
      </c>
      <c r="Q17" s="2"/>
      <c r="R17" s="19">
        <f t="shared" si="10"/>
        <v>0.39688146468003227</v>
      </c>
      <c r="S17" s="2"/>
      <c r="T17" s="2"/>
      <c r="U17" s="2"/>
      <c r="V17" s="19">
        <f t="shared" si="11"/>
        <v>0</v>
      </c>
      <c r="W17" s="2"/>
      <c r="X17" s="2">
        <f t="shared" si="12"/>
        <v>67082.58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7910.54</v>
      </c>
      <c r="E18" s="2"/>
      <c r="F18" s="19">
        <f t="shared" si="6"/>
        <v>9.0086739294474236E-2</v>
      </c>
      <c r="G18" s="2"/>
      <c r="H18" s="2"/>
      <c r="I18" s="2"/>
      <c r="J18" s="19">
        <f t="shared" si="7"/>
        <v>0</v>
      </c>
      <c r="K18" s="2"/>
      <c r="L18" s="2">
        <f t="shared" si="8"/>
        <v>7910.54</v>
      </c>
      <c r="M18" s="2"/>
      <c r="N18" s="19">
        <f t="shared" si="9"/>
        <v>0</v>
      </c>
      <c r="O18" s="11"/>
      <c r="P18" s="2">
        <v>2022.14</v>
      </c>
      <c r="Q18" s="2"/>
      <c r="R18" s="19">
        <f t="shared" si="10"/>
        <v>1.196361089552728E-2</v>
      </c>
      <c r="S18" s="2"/>
      <c r="T18" s="2"/>
      <c r="U18" s="2"/>
      <c r="V18" s="19">
        <f t="shared" si="11"/>
        <v>0</v>
      </c>
      <c r="W18" s="2"/>
      <c r="X18" s="2">
        <f t="shared" si="12"/>
        <v>2022.14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107</v>
      </c>
      <c r="C20" s="26"/>
      <c r="D20" s="22">
        <f>D12-D16</f>
        <v>49566.500000000007</v>
      </c>
      <c r="E20" s="13"/>
      <c r="F20" s="20">
        <f>IF(D$12=0,0,D20/D$12)</f>
        <v>0.56447276206675623</v>
      </c>
      <c r="G20" s="13"/>
      <c r="H20" s="22">
        <f>H12-H16</f>
        <v>0</v>
      </c>
      <c r="I20" s="13"/>
      <c r="J20" s="20">
        <f>IF(H$12=0,0,H20/H$12)</f>
        <v>0</v>
      </c>
      <c r="K20" s="15"/>
      <c r="L20" s="22">
        <f>+D20-H20</f>
        <v>49566.500000000007</v>
      </c>
      <c r="M20" s="15"/>
      <c r="N20" s="20">
        <f>IF(H20=0,0,L20/H20)</f>
        <v>0</v>
      </c>
      <c r="O20" s="25"/>
      <c r="P20" s="22">
        <f>P12-P16</f>
        <v>99919.5</v>
      </c>
      <c r="Q20" s="13"/>
      <c r="R20" s="20">
        <f>IF(P$12=0,0,P20/P$12)</f>
        <v>0.59115492442444051</v>
      </c>
      <c r="S20" s="13"/>
      <c r="T20" s="22">
        <f>T12-T16</f>
        <v>0</v>
      </c>
      <c r="U20" s="13"/>
      <c r="V20" s="20">
        <f>IF(T$12=0,0,T20/T$12)</f>
        <v>0</v>
      </c>
      <c r="W20" s="15"/>
      <c r="X20" s="22">
        <f>+P20-T20</f>
        <v>99919.5</v>
      </c>
      <c r="Y20" s="15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294</v>
      </c>
      <c r="C22" s="10"/>
      <c r="D22" s="21">
        <f>SUM(OSRRefD22x_0)</f>
        <v>45456.770000000004</v>
      </c>
      <c r="E22" s="21"/>
      <c r="F22" s="36">
        <f t="shared" ref="F22:F31" si="14">IF(D$12=0,0,D22/D$12)</f>
        <v>0.51767037245989245</v>
      </c>
      <c r="G22" s="21"/>
      <c r="H22" s="21">
        <f>SUM(OSRRefH22x_0)</f>
        <v>5704.4400000000005</v>
      </c>
      <c r="I22" s="21"/>
      <c r="J22" s="36">
        <f t="shared" ref="J22:J31" si="15">IF(H$12=0,0,H22/H$12)</f>
        <v>0</v>
      </c>
      <c r="K22" s="4"/>
      <c r="L22" s="21">
        <f t="shared" ref="L22:L31" si="16">+D22-H22</f>
        <v>39752.33</v>
      </c>
      <c r="M22" s="4"/>
      <c r="N22" s="36">
        <f t="shared" ref="N22:N31" si="17">IF(H22=0,0,L22/H22)</f>
        <v>6.9686647593804123</v>
      </c>
      <c r="O22" s="10"/>
      <c r="P22" s="21">
        <f>SUM(OSRRefP22x_0)</f>
        <v>124928.82</v>
      </c>
      <c r="Q22" s="21"/>
      <c r="R22" s="36">
        <f t="shared" ref="R22:R31" si="18">IF(P$12=0,0,P22/P$12)</f>
        <v>0.73911786133371893</v>
      </c>
      <c r="S22" s="21"/>
      <c r="T22" s="21">
        <f>SUM(OSRRefT22x_0)</f>
        <v>28102.84</v>
      </c>
      <c r="U22" s="21"/>
      <c r="V22" s="36">
        <f t="shared" ref="V22:V31" si="19">IF(T$12=0,0,T22/T$12)</f>
        <v>0</v>
      </c>
      <c r="W22" s="4"/>
      <c r="X22" s="21">
        <f t="shared" ref="X22:X31" si="20">+P22-T22</f>
        <v>96825.98000000001</v>
      </c>
      <c r="Y22" s="4"/>
      <c r="Z22" s="36">
        <f t="shared" ref="Z22:Z31" si="21">IF(T22=0,0,X22/T22)</f>
        <v>3.4454161928118299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6602.42</v>
      </c>
      <c r="E23" s="1"/>
      <c r="F23" s="5">
        <f t="shared" si="14"/>
        <v>7.5189619071848776E-2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6602.42</v>
      </c>
      <c r="M23" s="1"/>
      <c r="N23" s="5">
        <f t="shared" si="17"/>
        <v>0</v>
      </c>
      <c r="O23" s="14"/>
      <c r="P23" s="1">
        <f>SUM(OSRRefP22_0x_0)</f>
        <v>14298.32</v>
      </c>
      <c r="Q23" s="1"/>
      <c r="R23" s="5">
        <f t="shared" si="18"/>
        <v>8.4593320412897036E-2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14298.32</v>
      </c>
      <c r="Y23" s="1"/>
      <c r="Z23" s="5">
        <f t="shared" si="21"/>
        <v>0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6">
        <v>1166.95</v>
      </c>
      <c r="E24" s="2"/>
      <c r="F24" s="7">
        <f t="shared" si="14"/>
        <v>1.3289449319475878E-2</v>
      </c>
      <c r="G24" s="2"/>
      <c r="H24" s="6"/>
      <c r="I24" s="2"/>
      <c r="J24" s="7">
        <f t="shared" si="15"/>
        <v>0</v>
      </c>
      <c r="K24" s="2"/>
      <c r="L24" s="6">
        <f t="shared" si="16"/>
        <v>1166.95</v>
      </c>
      <c r="M24" s="2"/>
      <c r="N24" s="7">
        <f t="shared" si="17"/>
        <v>0</v>
      </c>
      <c r="O24" s="11"/>
      <c r="P24" s="6">
        <v>3010.73</v>
      </c>
      <c r="Q24" s="2"/>
      <c r="R24" s="7">
        <f t="shared" si="18"/>
        <v>1.7812417652334087E-2</v>
      </c>
      <c r="S24" s="2"/>
      <c r="T24" s="6"/>
      <c r="U24" s="2"/>
      <c r="V24" s="7">
        <f t="shared" si="19"/>
        <v>0</v>
      </c>
      <c r="W24" s="2"/>
      <c r="X24" s="6">
        <f t="shared" si="20"/>
        <v>3010.73</v>
      </c>
      <c r="Y24" s="2"/>
      <c r="Z24" s="7">
        <f t="shared" si="21"/>
        <v>0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6">
        <v>1173.44</v>
      </c>
      <c r="E25" s="2"/>
      <c r="F25" s="7">
        <f t="shared" si="14"/>
        <v>1.3363358678131688E-2</v>
      </c>
      <c r="G25" s="2"/>
      <c r="H25" s="6"/>
      <c r="I25" s="2"/>
      <c r="J25" s="7">
        <f t="shared" si="15"/>
        <v>0</v>
      </c>
      <c r="K25" s="2"/>
      <c r="L25" s="6">
        <f t="shared" si="16"/>
        <v>1173.44</v>
      </c>
      <c r="M25" s="2"/>
      <c r="N25" s="7">
        <f t="shared" si="17"/>
        <v>0</v>
      </c>
      <c r="O25" s="11"/>
      <c r="P25" s="6">
        <v>2392.7800000000002</v>
      </c>
      <c r="Q25" s="2"/>
      <c r="R25" s="7">
        <f t="shared" si="18"/>
        <v>1.4156432728989964E-2</v>
      </c>
      <c r="S25" s="2"/>
      <c r="T25" s="6"/>
      <c r="U25" s="2"/>
      <c r="V25" s="7">
        <f t="shared" si="19"/>
        <v>0</v>
      </c>
      <c r="W25" s="2"/>
      <c r="X25" s="6">
        <f t="shared" si="20"/>
        <v>2392.7800000000002</v>
      </c>
      <c r="Y25" s="2"/>
      <c r="Z25" s="7">
        <f t="shared" si="21"/>
        <v>0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6">
        <v>2055.31</v>
      </c>
      <c r="E26" s="2"/>
      <c r="F26" s="7">
        <f t="shared" si="14"/>
        <v>2.3406262548362797E-2</v>
      </c>
      <c r="G26" s="2"/>
      <c r="H26" s="6"/>
      <c r="I26" s="2"/>
      <c r="J26" s="7">
        <f t="shared" si="15"/>
        <v>0</v>
      </c>
      <c r="K26" s="2"/>
      <c r="L26" s="6">
        <f t="shared" si="16"/>
        <v>2055.31</v>
      </c>
      <c r="M26" s="2"/>
      <c r="N26" s="7">
        <f t="shared" si="17"/>
        <v>0</v>
      </c>
      <c r="O26" s="11"/>
      <c r="P26" s="6">
        <v>3464.91</v>
      </c>
      <c r="Q26" s="2"/>
      <c r="R26" s="7">
        <f t="shared" si="18"/>
        <v>2.0499488179859665E-2</v>
      </c>
      <c r="S26" s="2"/>
      <c r="T26" s="6"/>
      <c r="U26" s="2"/>
      <c r="V26" s="7">
        <f t="shared" si="19"/>
        <v>0</v>
      </c>
      <c r="W26" s="2"/>
      <c r="X26" s="6">
        <f t="shared" si="20"/>
        <v>3464.91</v>
      </c>
      <c r="Y26" s="2"/>
      <c r="Z26" s="7">
        <f t="shared" si="21"/>
        <v>0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>
        <v>84.75</v>
      </c>
      <c r="E27" s="2"/>
      <c r="F27" s="7">
        <f t="shared" si="14"/>
        <v>9.6514917505084253E-4</v>
      </c>
      <c r="G27" s="2"/>
      <c r="H27" s="6"/>
      <c r="I27" s="2"/>
      <c r="J27" s="7">
        <f t="shared" si="15"/>
        <v>0</v>
      </c>
      <c r="K27" s="2"/>
      <c r="L27" s="6">
        <f t="shared" si="16"/>
        <v>84.75</v>
      </c>
      <c r="M27" s="2"/>
      <c r="N27" s="7">
        <f t="shared" si="17"/>
        <v>0</v>
      </c>
      <c r="O27" s="11"/>
      <c r="P27" s="6">
        <v>172.81</v>
      </c>
      <c r="Q27" s="2"/>
      <c r="R27" s="7">
        <f t="shared" si="18"/>
        <v>1.0223978551712886E-3</v>
      </c>
      <c r="S27" s="2"/>
      <c r="T27" s="6"/>
      <c r="U27" s="2"/>
      <c r="V27" s="7">
        <f t="shared" si="19"/>
        <v>0</v>
      </c>
      <c r="W27" s="2"/>
      <c r="X27" s="6">
        <f t="shared" si="20"/>
        <v>172.81</v>
      </c>
      <c r="Y27" s="2"/>
      <c r="Z27" s="7">
        <f t="shared" si="21"/>
        <v>0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6">
        <v>613.04</v>
      </c>
      <c r="E28" s="2"/>
      <c r="F28" s="7">
        <f t="shared" si="14"/>
        <v>6.9814165223972676E-3</v>
      </c>
      <c r="G28" s="2"/>
      <c r="H28" s="6"/>
      <c r="I28" s="2"/>
      <c r="J28" s="7">
        <f t="shared" si="15"/>
        <v>0</v>
      </c>
      <c r="K28" s="2"/>
      <c r="L28" s="6">
        <f t="shared" si="16"/>
        <v>613.04</v>
      </c>
      <c r="M28" s="2"/>
      <c r="N28" s="7">
        <f t="shared" si="17"/>
        <v>0</v>
      </c>
      <c r="O28" s="11"/>
      <c r="P28" s="6">
        <v>1675.63</v>
      </c>
      <c r="Q28" s="2"/>
      <c r="R28" s="7">
        <f t="shared" si="18"/>
        <v>9.9135496676156839E-3</v>
      </c>
      <c r="S28" s="2"/>
      <c r="T28" s="6"/>
      <c r="U28" s="2"/>
      <c r="V28" s="7">
        <f t="shared" si="19"/>
        <v>0</v>
      </c>
      <c r="W28" s="2"/>
      <c r="X28" s="6">
        <f t="shared" si="20"/>
        <v>1675.63</v>
      </c>
      <c r="Y28" s="2"/>
      <c r="Z28" s="7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>
        <v>495.75</v>
      </c>
      <c r="E29" s="2"/>
      <c r="F29" s="7">
        <f t="shared" si="14"/>
        <v>5.6456956168903262E-3</v>
      </c>
      <c r="G29" s="2"/>
      <c r="H29" s="6"/>
      <c r="I29" s="2"/>
      <c r="J29" s="7">
        <f t="shared" si="15"/>
        <v>0</v>
      </c>
      <c r="K29" s="2"/>
      <c r="L29" s="6">
        <f t="shared" si="16"/>
        <v>495.75</v>
      </c>
      <c r="M29" s="2"/>
      <c r="N29" s="7">
        <f t="shared" si="17"/>
        <v>0</v>
      </c>
      <c r="O29" s="11"/>
      <c r="P29" s="6">
        <v>1179.25</v>
      </c>
      <c r="Q29" s="2"/>
      <c r="R29" s="7">
        <f t="shared" si="18"/>
        <v>6.9768107789522707E-3</v>
      </c>
      <c r="S29" s="2"/>
      <c r="T29" s="6"/>
      <c r="U29" s="2"/>
      <c r="V29" s="7">
        <f t="shared" si="19"/>
        <v>0</v>
      </c>
      <c r="W29" s="2"/>
      <c r="X29" s="6">
        <f t="shared" si="20"/>
        <v>1179.25</v>
      </c>
      <c r="Y29" s="2"/>
      <c r="Z29" s="7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>
        <v>593.94000000000005</v>
      </c>
      <c r="E30" s="2"/>
      <c r="F30" s="7">
        <f t="shared" si="14"/>
        <v>6.763902077046577E-3</v>
      </c>
      <c r="G30" s="2"/>
      <c r="H30" s="6"/>
      <c r="I30" s="2"/>
      <c r="J30" s="7">
        <f t="shared" si="15"/>
        <v>0</v>
      </c>
      <c r="K30" s="2"/>
      <c r="L30" s="6">
        <f t="shared" si="16"/>
        <v>593.94000000000005</v>
      </c>
      <c r="M30" s="2"/>
      <c r="N30" s="7">
        <f t="shared" si="17"/>
        <v>0</v>
      </c>
      <c r="O30" s="11"/>
      <c r="P30" s="6">
        <v>1412.82</v>
      </c>
      <c r="Q30" s="2"/>
      <c r="R30" s="7">
        <f t="shared" si="18"/>
        <v>8.3586837436670312E-3</v>
      </c>
      <c r="S30" s="2"/>
      <c r="T30" s="6"/>
      <c r="U30" s="2"/>
      <c r="V30" s="7">
        <f t="shared" si="19"/>
        <v>0</v>
      </c>
      <c r="W30" s="2"/>
      <c r="X30" s="6">
        <f t="shared" si="20"/>
        <v>1412.82</v>
      </c>
      <c r="Y30" s="2"/>
      <c r="Z30" s="7">
        <f t="shared" si="21"/>
        <v>0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6">
        <v>419.24</v>
      </c>
      <c r="E31" s="2"/>
      <c r="F31" s="7">
        <f t="shared" si="14"/>
        <v>4.7743851344933946E-3</v>
      </c>
      <c r="G31" s="2"/>
      <c r="H31" s="6"/>
      <c r="I31" s="2"/>
      <c r="J31" s="7">
        <f t="shared" si="15"/>
        <v>0</v>
      </c>
      <c r="K31" s="2"/>
      <c r="L31" s="6">
        <f t="shared" si="16"/>
        <v>419.24</v>
      </c>
      <c r="M31" s="2"/>
      <c r="N31" s="7">
        <f t="shared" si="17"/>
        <v>0</v>
      </c>
      <c r="O31" s="11"/>
      <c r="P31" s="6">
        <v>989.39</v>
      </c>
      <c r="Q31" s="2"/>
      <c r="R31" s="7">
        <f t="shared" si="18"/>
        <v>5.8535398063070485E-3</v>
      </c>
      <c r="S31" s="2"/>
      <c r="T31" s="6"/>
      <c r="U31" s="2"/>
      <c r="V31" s="7">
        <f t="shared" si="19"/>
        <v>0</v>
      </c>
      <c r="W31" s="2"/>
      <c r="X31" s="6">
        <f t="shared" si="20"/>
        <v>989.39</v>
      </c>
      <c r="Y31" s="2"/>
      <c r="Z31" s="7">
        <f t="shared" si="21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25918.940000000002</v>
      </c>
      <c r="E32" s="1"/>
      <c r="F32" s="5">
        <f t="shared" ref="F32:F36" si="22">IF(D$12=0,0,D32/D$12)</f>
        <v>0.29516983550669362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25918.940000000002</v>
      </c>
      <c r="M32" s="1"/>
      <c r="N32" s="5">
        <f t="shared" ref="N32:N36" si="25">IF(H32=0,0,L32/H32)</f>
        <v>0</v>
      </c>
      <c r="O32" s="14"/>
      <c r="P32" s="1">
        <f>SUM(OSRRefP22_1x_0)</f>
        <v>64737.020000000004</v>
      </c>
      <c r="Q32" s="1"/>
      <c r="R32" s="5">
        <f t="shared" ref="R32:R36" si="26">IF(P$12=0,0,P32/P$12)</f>
        <v>0.38300440019779414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64737.020000000004</v>
      </c>
      <c r="Y32" s="1"/>
      <c r="Z32" s="5">
        <f t="shared" ref="Z32:Z36" si="29">IF(T32=0,0,X32/T32)</f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>
        <v>6730.93</v>
      </c>
      <c r="E33" s="2"/>
      <c r="F33" s="7">
        <f t="shared" si="22"/>
        <v>7.6653115478760678E-2</v>
      </c>
      <c r="G33" s="2"/>
      <c r="H33" s="6"/>
      <c r="I33" s="2"/>
      <c r="J33" s="7">
        <f t="shared" si="23"/>
        <v>0</v>
      </c>
      <c r="K33" s="2"/>
      <c r="L33" s="6">
        <f t="shared" si="24"/>
        <v>6730.93</v>
      </c>
      <c r="M33" s="2"/>
      <c r="N33" s="7">
        <f t="shared" si="25"/>
        <v>0</v>
      </c>
      <c r="O33" s="11"/>
      <c r="P33" s="6">
        <v>21807.7</v>
      </c>
      <c r="Q33" s="2"/>
      <c r="R33" s="7">
        <f t="shared" si="26"/>
        <v>0.12902115448306758</v>
      </c>
      <c r="S33" s="2"/>
      <c r="T33" s="6"/>
      <c r="U33" s="2"/>
      <c r="V33" s="7">
        <f t="shared" si="27"/>
        <v>0</v>
      </c>
      <c r="W33" s="2"/>
      <c r="X33" s="6">
        <f t="shared" si="28"/>
        <v>21807.7</v>
      </c>
      <c r="Y33" s="2"/>
      <c r="Z33" s="7">
        <f t="shared" si="2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>
        <v>3004.1</v>
      </c>
      <c r="E34" s="2"/>
      <c r="F34" s="7">
        <f t="shared" si="22"/>
        <v>3.421126415068125E-2</v>
      </c>
      <c r="G34" s="2"/>
      <c r="H34" s="6"/>
      <c r="I34" s="2"/>
      <c r="J34" s="7">
        <f t="shared" si="23"/>
        <v>0</v>
      </c>
      <c r="K34" s="2"/>
      <c r="L34" s="6">
        <f t="shared" si="24"/>
        <v>3004.1</v>
      </c>
      <c r="M34" s="2"/>
      <c r="N34" s="7">
        <f t="shared" si="25"/>
        <v>0</v>
      </c>
      <c r="O34" s="11"/>
      <c r="P34" s="6">
        <v>4286.9799999999996</v>
      </c>
      <c r="Q34" s="2"/>
      <c r="R34" s="7">
        <f t="shared" si="26"/>
        <v>2.5363110683190845E-2</v>
      </c>
      <c r="S34" s="2"/>
      <c r="T34" s="6"/>
      <c r="U34" s="2"/>
      <c r="V34" s="7">
        <f t="shared" si="27"/>
        <v>0</v>
      </c>
      <c r="W34" s="2"/>
      <c r="X34" s="6">
        <f t="shared" si="28"/>
        <v>4286.9799999999996</v>
      </c>
      <c r="Y34" s="2"/>
      <c r="Z34" s="7">
        <f t="shared" si="29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>
        <v>3543.18</v>
      </c>
      <c r="E35" s="2"/>
      <c r="F35" s="7">
        <f t="shared" si="22"/>
        <v>4.0350410077364528E-2</v>
      </c>
      <c r="G35" s="2"/>
      <c r="H35" s="6"/>
      <c r="I35" s="2"/>
      <c r="J35" s="7">
        <f t="shared" si="23"/>
        <v>0</v>
      </c>
      <c r="K35" s="2"/>
      <c r="L35" s="6">
        <f t="shared" si="24"/>
        <v>3543.18</v>
      </c>
      <c r="M35" s="2"/>
      <c r="N35" s="7">
        <f t="shared" si="25"/>
        <v>0</v>
      </c>
      <c r="O35" s="11"/>
      <c r="P35" s="6">
        <v>8176.07</v>
      </c>
      <c r="Q35" s="2"/>
      <c r="R35" s="7">
        <f t="shared" si="26"/>
        <v>4.8372180034316974E-2</v>
      </c>
      <c r="S35" s="2"/>
      <c r="T35" s="6"/>
      <c r="U35" s="2"/>
      <c r="V35" s="7">
        <f t="shared" si="27"/>
        <v>0</v>
      </c>
      <c r="W35" s="2"/>
      <c r="X35" s="6">
        <f t="shared" si="28"/>
        <v>8176.07</v>
      </c>
      <c r="Y35" s="2"/>
      <c r="Z35" s="7">
        <f t="shared" si="29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>
        <v>12640.73</v>
      </c>
      <c r="E36" s="2"/>
      <c r="F36" s="7">
        <f t="shared" si="22"/>
        <v>0.14395504579988713</v>
      </c>
      <c r="G36" s="2"/>
      <c r="H36" s="6"/>
      <c r="I36" s="2"/>
      <c r="J36" s="7">
        <f t="shared" si="23"/>
        <v>0</v>
      </c>
      <c r="K36" s="2"/>
      <c r="L36" s="6">
        <f t="shared" si="24"/>
        <v>12640.73</v>
      </c>
      <c r="M36" s="2"/>
      <c r="N36" s="7">
        <f t="shared" si="25"/>
        <v>0</v>
      </c>
      <c r="O36" s="11"/>
      <c r="P36" s="6">
        <v>30466.27</v>
      </c>
      <c r="Q36" s="2"/>
      <c r="R36" s="7">
        <f t="shared" si="26"/>
        <v>0.18024795499721874</v>
      </c>
      <c r="S36" s="2"/>
      <c r="T36" s="6"/>
      <c r="U36" s="2"/>
      <c r="V36" s="7">
        <f t="shared" si="27"/>
        <v>0</v>
      </c>
      <c r="W36" s="2"/>
      <c r="X36" s="6">
        <f t="shared" si="28"/>
        <v>30466.27</v>
      </c>
      <c r="Y36" s="2"/>
      <c r="Z36" s="7">
        <f t="shared" si="29"/>
        <v>0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0</v>
      </c>
      <c r="M37" s="1"/>
      <c r="N37" s="5">
        <f t="shared" ref="N37:N45" si="33">IF(H37=0,0,L37/H37)</f>
        <v>0</v>
      </c>
      <c r="O37" s="14"/>
      <c r="P37" s="1">
        <f>SUM(OSRRefP22_2x_0)</f>
        <v>209.79</v>
      </c>
      <c r="Q37" s="1"/>
      <c r="R37" s="5">
        <f t="shared" ref="R37:R45" si="34">IF(P$12=0,0,P37/P$12)</f>
        <v>1.2411830683200311E-3</v>
      </c>
      <c r="S37" s="1"/>
      <c r="T37" s="1">
        <f>SUM(OSRRefT22_2x_0)</f>
        <v>0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209.79</v>
      </c>
      <c r="Y37" s="1"/>
      <c r="Z37" s="5">
        <f t="shared" ref="Z37:Z45" si="37">IF(T37=0,0,X37/T37)</f>
        <v>0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>
        <v>209.79</v>
      </c>
      <c r="Q38" s="2"/>
      <c r="R38" s="7">
        <f t="shared" si="34"/>
        <v>1.2411830683200311E-3</v>
      </c>
      <c r="S38" s="2"/>
      <c r="T38" s="6"/>
      <c r="U38" s="2"/>
      <c r="V38" s="7">
        <f t="shared" si="35"/>
        <v>0</v>
      </c>
      <c r="W38" s="2"/>
      <c r="X38" s="6">
        <f t="shared" si="36"/>
        <v>209.79</v>
      </c>
      <c r="Y38" s="2"/>
      <c r="Z38" s="7">
        <f t="shared" si="37"/>
        <v>0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5.47</v>
      </c>
      <c r="E39" s="1"/>
      <c r="F39" s="5">
        <f t="shared" si="30"/>
        <v>6.2293403982632538E-5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5.47</v>
      </c>
      <c r="M39" s="1"/>
      <c r="N39" s="5">
        <f t="shared" si="33"/>
        <v>0</v>
      </c>
      <c r="O39" s="14"/>
      <c r="P39" s="1">
        <f>SUM(OSRRefP22_3x_0)</f>
        <v>-89.04</v>
      </c>
      <c r="Q39" s="1"/>
      <c r="R39" s="5">
        <f t="shared" si="34"/>
        <v>-5.2678840937707037E-4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-89.04</v>
      </c>
      <c r="Y39" s="1"/>
      <c r="Z39" s="5">
        <f t="shared" si="37"/>
        <v>0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6">
        <v>5.47</v>
      </c>
      <c r="E40" s="2"/>
      <c r="F40" s="7">
        <f t="shared" si="30"/>
        <v>6.2293403982632538E-5</v>
      </c>
      <c r="G40" s="2"/>
      <c r="H40" s="6"/>
      <c r="I40" s="2"/>
      <c r="J40" s="7">
        <f t="shared" si="31"/>
        <v>0</v>
      </c>
      <c r="K40" s="2"/>
      <c r="L40" s="6">
        <f t="shared" si="32"/>
        <v>5.47</v>
      </c>
      <c r="M40" s="2"/>
      <c r="N40" s="7">
        <f t="shared" si="33"/>
        <v>0</v>
      </c>
      <c r="O40" s="11"/>
      <c r="P40" s="6">
        <v>-89.04</v>
      </c>
      <c r="Q40" s="2"/>
      <c r="R40" s="7">
        <f t="shared" si="34"/>
        <v>-5.2678840937707037E-4</v>
      </c>
      <c r="S40" s="2"/>
      <c r="T40" s="6"/>
      <c r="U40" s="2"/>
      <c r="V40" s="7">
        <f t="shared" si="35"/>
        <v>0</v>
      </c>
      <c r="W40" s="2"/>
      <c r="X40" s="6">
        <f t="shared" si="36"/>
        <v>-89.04</v>
      </c>
      <c r="Y40" s="2"/>
      <c r="Z40" s="7">
        <f t="shared" si="37"/>
        <v>0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2833.08</v>
      </c>
      <c r="E41" s="1"/>
      <c r="F41" s="5">
        <f t="shared" si="30"/>
        <v>3.2263655750478355E-2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2833.08</v>
      </c>
      <c r="M41" s="1"/>
      <c r="N41" s="5">
        <f t="shared" si="33"/>
        <v>0</v>
      </c>
      <c r="O41" s="14"/>
      <c r="P41" s="1">
        <f>SUM(OSRRefP22_4x_0)</f>
        <v>6142.6</v>
      </c>
      <c r="Q41" s="1"/>
      <c r="R41" s="5">
        <f t="shared" si="34"/>
        <v>3.63415373252425E-2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6142.6</v>
      </c>
      <c r="Y41" s="1"/>
      <c r="Z41" s="5">
        <f t="shared" si="37"/>
        <v>0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6">
        <v>2833.08</v>
      </c>
      <c r="E42" s="2"/>
      <c r="F42" s="7">
        <f t="shared" si="30"/>
        <v>3.2263655750478355E-2</v>
      </c>
      <c r="G42" s="2"/>
      <c r="H42" s="6"/>
      <c r="I42" s="2"/>
      <c r="J42" s="7">
        <f t="shared" si="31"/>
        <v>0</v>
      </c>
      <c r="K42" s="2"/>
      <c r="L42" s="6">
        <f t="shared" si="32"/>
        <v>2833.08</v>
      </c>
      <c r="M42" s="2"/>
      <c r="N42" s="7">
        <f t="shared" si="33"/>
        <v>0</v>
      </c>
      <c r="O42" s="11"/>
      <c r="P42" s="6">
        <v>6142.6</v>
      </c>
      <c r="Q42" s="2"/>
      <c r="R42" s="7">
        <f t="shared" si="34"/>
        <v>3.63415373252425E-2</v>
      </c>
      <c r="S42" s="2"/>
      <c r="T42" s="6"/>
      <c r="U42" s="2"/>
      <c r="V42" s="7">
        <f t="shared" si="35"/>
        <v>0</v>
      </c>
      <c r="W42" s="2"/>
      <c r="X42" s="6">
        <f t="shared" si="36"/>
        <v>6142.6</v>
      </c>
      <c r="Y42" s="2"/>
      <c r="Z42" s="7">
        <f t="shared" si="37"/>
        <v>0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4626.5</v>
      </c>
      <c r="E43" s="1"/>
      <c r="F43" s="5">
        <f t="shared" si="30"/>
        <v>5.2687464995548348E-2</v>
      </c>
      <c r="G43" s="1"/>
      <c r="H43" s="1">
        <f>SUM(OSRRefH22_5x_0)</f>
        <v>5233.01</v>
      </c>
      <c r="I43" s="1"/>
      <c r="J43" s="5">
        <f t="shared" si="31"/>
        <v>0</v>
      </c>
      <c r="K43" s="1"/>
      <c r="L43" s="1">
        <f t="shared" si="32"/>
        <v>-606.51000000000022</v>
      </c>
      <c r="M43" s="1"/>
      <c r="N43" s="5">
        <f t="shared" si="33"/>
        <v>-0.11590079132277603</v>
      </c>
      <c r="O43" s="14"/>
      <c r="P43" s="1">
        <f>SUM(OSRRefP22_5x_0)</f>
        <v>18506</v>
      </c>
      <c r="Q43" s="1"/>
      <c r="R43" s="5">
        <f t="shared" si="34"/>
        <v>0.10948726756437628</v>
      </c>
      <c r="S43" s="1"/>
      <c r="T43" s="1">
        <f>SUM(OSRRefT22_5x_0)</f>
        <v>21223.16</v>
      </c>
      <c r="U43" s="1"/>
      <c r="V43" s="5">
        <f t="shared" si="35"/>
        <v>0</v>
      </c>
      <c r="W43" s="1"/>
      <c r="X43" s="1">
        <f t="shared" si="36"/>
        <v>-2717.16</v>
      </c>
      <c r="Y43" s="1"/>
      <c r="Z43" s="5">
        <f t="shared" si="37"/>
        <v>-0.12802805991190755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5.2687464995548348E-2</v>
      </c>
      <c r="G44" s="2"/>
      <c r="H44" s="6">
        <v>4626.5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18506</v>
      </c>
      <c r="Q44" s="2"/>
      <c r="R44" s="7">
        <f t="shared" si="34"/>
        <v>0.10948726756437628</v>
      </c>
      <c r="S44" s="2"/>
      <c r="T44" s="6">
        <v>18506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6"/>
      <c r="E45" s="2"/>
      <c r="F45" s="7">
        <f t="shared" si="30"/>
        <v>0</v>
      </c>
      <c r="G45" s="2"/>
      <c r="H45" s="6">
        <v>606.51</v>
      </c>
      <c r="I45" s="2"/>
      <c r="J45" s="7">
        <f t="shared" si="31"/>
        <v>0</v>
      </c>
      <c r="K45" s="2"/>
      <c r="L45" s="6">
        <f t="shared" si="32"/>
        <v>-606.51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2717.16</v>
      </c>
      <c r="U45" s="2"/>
      <c r="V45" s="7">
        <f t="shared" si="35"/>
        <v>0</v>
      </c>
      <c r="W45" s="2"/>
      <c r="X45" s="6">
        <f t="shared" si="36"/>
        <v>-2717.16</v>
      </c>
      <c r="Y45" s="2"/>
      <c r="Z45" s="7">
        <f t="shared" si="37"/>
        <v>-1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73.22</v>
      </c>
      <c r="E46" s="1"/>
      <c r="F46" s="5">
        <f t="shared" ref="F46:F56" si="38">IF(D$12=0,0,D46/D$12)</f>
        <v>8.3384333448050364E-4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73.22</v>
      </c>
      <c r="M46" s="1"/>
      <c r="N46" s="5">
        <f t="shared" ref="N46:N56" si="41">IF(H46=0,0,L46/H46)</f>
        <v>0</v>
      </c>
      <c r="O46" s="14"/>
      <c r="P46" s="1">
        <f>SUM(OSRRefP22_6x_0)</f>
        <v>73.22</v>
      </c>
      <c r="Q46" s="1"/>
      <c r="R46" s="5">
        <f t="shared" ref="R46:R56" si="42">IF(P$12=0,0,P46/P$12)</f>
        <v>4.3319235550976068E-4</v>
      </c>
      <c r="S46" s="1"/>
      <c r="T46" s="1">
        <f>SUM(OSRRefT22_6x_0)</f>
        <v>0</v>
      </c>
      <c r="U46" s="1"/>
      <c r="V46" s="5">
        <f t="shared" ref="V46:V56" si="43">IF(T$12=0,0,T46/T$12)</f>
        <v>0</v>
      </c>
      <c r="W46" s="1"/>
      <c r="X46" s="1">
        <f t="shared" ref="X46:X56" si="44">+P46-T46</f>
        <v>73.22</v>
      </c>
      <c r="Y46" s="1"/>
      <c r="Z46" s="5">
        <f t="shared" ref="Z46:Z56" si="45">IF(T46=0,0,X46/T46)</f>
        <v>0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6">
        <v>73.22</v>
      </c>
      <c r="E47" s="2"/>
      <c r="F47" s="7">
        <f t="shared" si="38"/>
        <v>8.3384333448050364E-4</v>
      </c>
      <c r="G47" s="2"/>
      <c r="H47" s="6"/>
      <c r="I47" s="2"/>
      <c r="J47" s="7">
        <f t="shared" si="39"/>
        <v>0</v>
      </c>
      <c r="K47" s="2"/>
      <c r="L47" s="6">
        <f t="shared" si="40"/>
        <v>73.22</v>
      </c>
      <c r="M47" s="2"/>
      <c r="N47" s="7">
        <f t="shared" si="41"/>
        <v>0</v>
      </c>
      <c r="O47" s="11"/>
      <c r="P47" s="6">
        <v>73.22</v>
      </c>
      <c r="Q47" s="2"/>
      <c r="R47" s="7">
        <f t="shared" si="42"/>
        <v>4.3319235550976068E-4</v>
      </c>
      <c r="S47" s="2"/>
      <c r="T47" s="6"/>
      <c r="U47" s="2"/>
      <c r="V47" s="7">
        <f t="shared" si="43"/>
        <v>0</v>
      </c>
      <c r="W47" s="2"/>
      <c r="X47" s="6">
        <f t="shared" si="44"/>
        <v>73.22</v>
      </c>
      <c r="Y47" s="2"/>
      <c r="Z47" s="7">
        <f t="shared" si="45"/>
        <v>0</v>
      </c>
    </row>
    <row r="48" spans="1:26" s="28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SUM(OSRRefP22_7x_0)</f>
        <v>0</v>
      </c>
      <c r="Q48" s="1"/>
      <c r="R48" s="5">
        <f t="shared" si="42"/>
        <v>0</v>
      </c>
      <c r="S48" s="1"/>
      <c r="T48" s="1">
        <f>SUM(OSRRefT22_7x_0)</f>
        <v>96.3</v>
      </c>
      <c r="U48" s="1"/>
      <c r="V48" s="5">
        <f t="shared" si="43"/>
        <v>0</v>
      </c>
      <c r="W48" s="1"/>
      <c r="X48" s="1">
        <f t="shared" si="44"/>
        <v>-96.3</v>
      </c>
      <c r="Y48" s="1"/>
      <c r="Z48" s="5">
        <f t="shared" si="45"/>
        <v>-1</v>
      </c>
    </row>
    <row r="49" spans="1:26" s="24" customFormat="1" hidden="1" outlineLevel="2" x14ac:dyDescent="0.25">
      <c r="A49" s="29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96.3</v>
      </c>
      <c r="U49" s="2"/>
      <c r="V49" s="7">
        <f t="shared" si="43"/>
        <v>0</v>
      </c>
      <c r="W49" s="2"/>
      <c r="X49" s="6">
        <f t="shared" si="44"/>
        <v>-96.3</v>
      </c>
      <c r="Y49" s="2"/>
      <c r="Z49" s="7">
        <f t="shared" si="45"/>
        <v>-1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4"/>
      <c r="P50" s="1">
        <f>SUM(OSRRefP22_8x_0)</f>
        <v>1887.3</v>
      </c>
      <c r="Q50" s="1"/>
      <c r="R50" s="5">
        <f t="shared" si="42"/>
        <v>1.1165855402261286E-2</v>
      </c>
      <c r="S50" s="1"/>
      <c r="T50" s="1">
        <f>SUM(OSRRefT22_8x_0)</f>
        <v>0</v>
      </c>
      <c r="U50" s="1"/>
      <c r="V50" s="5">
        <f t="shared" si="43"/>
        <v>0</v>
      </c>
      <c r="W50" s="1"/>
      <c r="X50" s="1">
        <f t="shared" si="44"/>
        <v>1887.3</v>
      </c>
      <c r="Y50" s="1"/>
      <c r="Z50" s="5">
        <f t="shared" si="45"/>
        <v>0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>
        <v>1887.3</v>
      </c>
      <c r="Q51" s="2"/>
      <c r="R51" s="7">
        <f t="shared" si="42"/>
        <v>1.1165855402261286E-2</v>
      </c>
      <c r="S51" s="2"/>
      <c r="T51" s="6">
        <v>0</v>
      </c>
      <c r="U51" s="2"/>
      <c r="V51" s="7">
        <f t="shared" si="43"/>
        <v>0</v>
      </c>
      <c r="W51" s="2"/>
      <c r="X51" s="6">
        <f t="shared" si="44"/>
        <v>1887.3</v>
      </c>
      <c r="Y51" s="2"/>
      <c r="Z51" s="7">
        <f t="shared" si="45"/>
        <v>0</v>
      </c>
    </row>
    <row r="52" spans="1:26" s="28" customFormat="1" outlineLevel="1" collapsed="1" x14ac:dyDescent="0.25">
      <c r="A52" s="27"/>
      <c r="B52" s="14" t="str">
        <f>CONCATENATE("     ","Rent                                              ")</f>
        <v xml:space="preserve">     Rent                                              </v>
      </c>
      <c r="C52" s="14"/>
      <c r="D52" s="1">
        <f>SUM(OSRRefD22_9x_0)</f>
        <v>1850</v>
      </c>
      <c r="E52" s="1"/>
      <c r="F52" s="5">
        <f t="shared" si="38"/>
        <v>2.1068153083705705E-2</v>
      </c>
      <c r="G52" s="1"/>
      <c r="H52" s="1">
        <f>SUM(OSRRefH22_9x_0)</f>
        <v>0</v>
      </c>
      <c r="I52" s="1"/>
      <c r="J52" s="5">
        <f t="shared" si="39"/>
        <v>0</v>
      </c>
      <c r="K52" s="1"/>
      <c r="L52" s="1">
        <f t="shared" si="40"/>
        <v>1850</v>
      </c>
      <c r="M52" s="1"/>
      <c r="N52" s="5">
        <f t="shared" si="41"/>
        <v>0</v>
      </c>
      <c r="O52" s="14"/>
      <c r="P52" s="1">
        <f>SUM(OSRRefP22_9x_0)</f>
        <v>7400</v>
      </c>
      <c r="Q52" s="1"/>
      <c r="R52" s="5">
        <f t="shared" si="42"/>
        <v>4.3780707877249782E-2</v>
      </c>
      <c r="S52" s="1"/>
      <c r="T52" s="1">
        <f>SUM(OSRRefT22_9x_0)</f>
        <v>5550</v>
      </c>
      <c r="U52" s="1"/>
      <c r="V52" s="5">
        <f t="shared" si="43"/>
        <v>0</v>
      </c>
      <c r="W52" s="1"/>
      <c r="X52" s="1">
        <f t="shared" si="44"/>
        <v>1850</v>
      </c>
      <c r="Y52" s="1"/>
      <c r="Z52" s="5">
        <f t="shared" si="45"/>
        <v>0.33333333333333331</v>
      </c>
    </row>
    <row r="53" spans="1:26" s="24" customFormat="1" hidden="1" outlineLevel="2" x14ac:dyDescent="0.25">
      <c r="A53" s="29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8"/>
        <v>2.1068153083705705E-2</v>
      </c>
      <c r="G53" s="2"/>
      <c r="H53" s="6"/>
      <c r="I53" s="2"/>
      <c r="J53" s="7">
        <f t="shared" si="39"/>
        <v>0</v>
      </c>
      <c r="K53" s="2"/>
      <c r="L53" s="6">
        <f t="shared" si="40"/>
        <v>1850</v>
      </c>
      <c r="M53" s="2"/>
      <c r="N53" s="7">
        <f t="shared" si="41"/>
        <v>0</v>
      </c>
      <c r="O53" s="11"/>
      <c r="P53" s="6">
        <v>7400</v>
      </c>
      <c r="Q53" s="2"/>
      <c r="R53" s="7">
        <f t="shared" si="42"/>
        <v>4.3780707877249782E-2</v>
      </c>
      <c r="S53" s="2"/>
      <c r="T53" s="6">
        <v>5550</v>
      </c>
      <c r="U53" s="2"/>
      <c r="V53" s="7">
        <f t="shared" si="43"/>
        <v>0</v>
      </c>
      <c r="W53" s="2"/>
      <c r="X53" s="6">
        <f t="shared" si="44"/>
        <v>1850</v>
      </c>
      <c r="Y53" s="2"/>
      <c r="Z53" s="7">
        <f t="shared" si="45"/>
        <v>0.33333333333333331</v>
      </c>
    </row>
    <row r="54" spans="1:26" s="28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37</v>
      </c>
      <c r="E54" s="1"/>
      <c r="F54" s="5">
        <f t="shared" si="38"/>
        <v>4.2136306167411412E-4</v>
      </c>
      <c r="G54" s="1"/>
      <c r="H54" s="1">
        <f>SUM(OSRRefH22_10x_0)</f>
        <v>0</v>
      </c>
      <c r="I54" s="1"/>
      <c r="J54" s="5">
        <f t="shared" si="39"/>
        <v>0</v>
      </c>
      <c r="K54" s="1"/>
      <c r="L54" s="1">
        <f t="shared" si="40"/>
        <v>37</v>
      </c>
      <c r="M54" s="1"/>
      <c r="N54" s="5">
        <f t="shared" si="41"/>
        <v>0</v>
      </c>
      <c r="O54" s="14"/>
      <c r="P54" s="1">
        <f>SUM(OSRRefP22_10x_0)</f>
        <v>1904.8899999999999</v>
      </c>
      <c r="Q54" s="1"/>
      <c r="R54" s="5">
        <f t="shared" si="42"/>
        <v>1.1269923328147882E-2</v>
      </c>
      <c r="S54" s="1"/>
      <c r="T54" s="1">
        <f>SUM(OSRRefT22_10x_0)</f>
        <v>692.95</v>
      </c>
      <c r="U54" s="1"/>
      <c r="V54" s="5">
        <f t="shared" si="43"/>
        <v>0</v>
      </c>
      <c r="W54" s="1"/>
      <c r="X54" s="1">
        <f t="shared" si="44"/>
        <v>1211.9399999999998</v>
      </c>
      <c r="Y54" s="1"/>
      <c r="Z54" s="5">
        <f t="shared" si="45"/>
        <v>1.748957356230608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71.86</v>
      </c>
      <c r="Q55" s="2"/>
      <c r="R55" s="7">
        <f t="shared" si="42"/>
        <v>4.2514617135934717E-4</v>
      </c>
      <c r="S55" s="2"/>
      <c r="T55" s="6">
        <v>150.94999999999999</v>
      </c>
      <c r="U55" s="2"/>
      <c r="V55" s="7">
        <f t="shared" si="43"/>
        <v>0</v>
      </c>
      <c r="W55" s="2"/>
      <c r="X55" s="6">
        <f t="shared" si="44"/>
        <v>-79.089999999999989</v>
      </c>
      <c r="Y55" s="2"/>
      <c r="Z55" s="7">
        <f t="shared" si="45"/>
        <v>-0.5239483272606823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37</v>
      </c>
      <c r="E56" s="2"/>
      <c r="F56" s="7">
        <f t="shared" si="38"/>
        <v>4.2136306167411412E-4</v>
      </c>
      <c r="G56" s="2"/>
      <c r="H56" s="6"/>
      <c r="I56" s="2"/>
      <c r="J56" s="7">
        <f t="shared" si="39"/>
        <v>0</v>
      </c>
      <c r="K56" s="2"/>
      <c r="L56" s="6">
        <f t="shared" si="40"/>
        <v>37</v>
      </c>
      <c r="M56" s="2"/>
      <c r="N56" s="7">
        <f t="shared" si="41"/>
        <v>0</v>
      </c>
      <c r="O56" s="11"/>
      <c r="P56" s="6">
        <v>1833.03</v>
      </c>
      <c r="Q56" s="2"/>
      <c r="R56" s="7">
        <f t="shared" si="42"/>
        <v>1.0844777156788535E-2</v>
      </c>
      <c r="S56" s="2"/>
      <c r="T56" s="6">
        <v>542</v>
      </c>
      <c r="U56" s="2"/>
      <c r="V56" s="7">
        <f t="shared" si="43"/>
        <v>0</v>
      </c>
      <c r="W56" s="2"/>
      <c r="X56" s="6">
        <f t="shared" si="44"/>
        <v>1291.03</v>
      </c>
      <c r="Y56" s="2"/>
      <c r="Z56" s="7">
        <f t="shared" si="45"/>
        <v>2.3819741697416972</v>
      </c>
    </row>
    <row r="57" spans="1:26" s="28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245.44</v>
      </c>
      <c r="E57" s="1"/>
      <c r="F57" s="5">
        <f t="shared" ref="F57:F61" si="46">IF(D$12=0,0,D57/D$12)</f>
        <v>2.7951175637106638E-3</v>
      </c>
      <c r="G57" s="1"/>
      <c r="H57" s="1">
        <f>SUM(OSRRefH22_11x_0)</f>
        <v>115</v>
      </c>
      <c r="I57" s="1"/>
      <c r="J57" s="5">
        <f t="shared" ref="J57:J61" si="47">IF(H$12=0,0,H57/H$12)</f>
        <v>0</v>
      </c>
      <c r="K57" s="1"/>
      <c r="L57" s="1">
        <f t="shared" ref="L57:L61" si="48">+D57-H57</f>
        <v>130.44</v>
      </c>
      <c r="M57" s="1"/>
      <c r="N57" s="5">
        <f t="shared" ref="N57:N61" si="49">IF(H57=0,0,L57/H57)</f>
        <v>1.1342608695652174</v>
      </c>
      <c r="O57" s="14"/>
      <c r="P57" s="1">
        <f>SUM(OSRRefP22_11x_0)</f>
        <v>3979.3</v>
      </c>
      <c r="Q57" s="1"/>
      <c r="R57" s="5">
        <f t="shared" ref="R57:R61" si="50">IF(P$12=0,0,P57/P$12)</f>
        <v>2.3542779845397304E-2</v>
      </c>
      <c r="S57" s="1"/>
      <c r="T57" s="1">
        <f>SUM(OSRRefT22_11x_0)</f>
        <v>115</v>
      </c>
      <c r="U57" s="1"/>
      <c r="V57" s="5">
        <f t="shared" ref="V57:V61" si="51">IF(T$12=0,0,T57/T$12)</f>
        <v>0</v>
      </c>
      <c r="W57" s="1"/>
      <c r="X57" s="1">
        <f t="shared" ref="X57:X61" si="52">+P57-T57</f>
        <v>3864.3</v>
      </c>
      <c r="Y57" s="1"/>
      <c r="Z57" s="5">
        <f t="shared" ref="Z57:Z61" si="53">IF(T57=0,0,X57/T57)</f>
        <v>33.602608695652172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63.86</v>
      </c>
      <c r="E58" s="2"/>
      <c r="F58" s="7">
        <f t="shared" si="46"/>
        <v>7.2724986806780884E-4</v>
      </c>
      <c r="G58" s="2"/>
      <c r="H58" s="6"/>
      <c r="I58" s="2"/>
      <c r="J58" s="7">
        <f t="shared" si="47"/>
        <v>0</v>
      </c>
      <c r="K58" s="2"/>
      <c r="L58" s="6">
        <f t="shared" si="48"/>
        <v>63.86</v>
      </c>
      <c r="M58" s="2"/>
      <c r="N58" s="7">
        <f t="shared" si="49"/>
        <v>0</v>
      </c>
      <c r="O58" s="11"/>
      <c r="P58" s="6">
        <v>63.86</v>
      </c>
      <c r="Q58" s="2"/>
      <c r="R58" s="7">
        <f t="shared" si="50"/>
        <v>3.7781567635691501E-4</v>
      </c>
      <c r="S58" s="2"/>
      <c r="T58" s="6"/>
      <c r="U58" s="2"/>
      <c r="V58" s="7">
        <f t="shared" si="51"/>
        <v>0</v>
      </c>
      <c r="W58" s="2"/>
      <c r="X58" s="6">
        <f t="shared" si="52"/>
        <v>63.86</v>
      </c>
      <c r="Y58" s="2"/>
      <c r="Z58" s="7">
        <f t="shared" si="53"/>
        <v>0</v>
      </c>
    </row>
    <row r="59" spans="1:26" s="24" customFormat="1" hidden="1" outlineLevel="2" x14ac:dyDescent="0.25">
      <c r="A59" s="29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46"/>
        <v>0</v>
      </c>
      <c r="G59" s="2"/>
      <c r="H59" s="6">
        <v>115</v>
      </c>
      <c r="I59" s="2"/>
      <c r="J59" s="7">
        <f t="shared" si="47"/>
        <v>0</v>
      </c>
      <c r="K59" s="2"/>
      <c r="L59" s="6">
        <f t="shared" si="48"/>
        <v>-115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115</v>
      </c>
      <c r="U59" s="2"/>
      <c r="V59" s="7">
        <f t="shared" si="51"/>
        <v>0</v>
      </c>
      <c r="W59" s="2"/>
      <c r="X59" s="6">
        <f t="shared" si="52"/>
        <v>-115</v>
      </c>
      <c r="Y59" s="2"/>
      <c r="Z59" s="7">
        <f t="shared" si="53"/>
        <v>-1</v>
      </c>
    </row>
    <row r="60" spans="1:26" s="24" customFormat="1" hidden="1" outlineLevel="2" x14ac:dyDescent="0.25">
      <c r="A60" s="29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>
        <v>3660</v>
      </c>
      <c r="Q60" s="2"/>
      <c r="R60" s="7">
        <f t="shared" si="50"/>
        <v>2.1653701463612729E-2</v>
      </c>
      <c r="S60" s="2"/>
      <c r="T60" s="6"/>
      <c r="U60" s="2"/>
      <c r="V60" s="7">
        <f t="shared" si="51"/>
        <v>0</v>
      </c>
      <c r="W60" s="2"/>
      <c r="X60" s="6">
        <f t="shared" si="52"/>
        <v>3660</v>
      </c>
      <c r="Y60" s="2"/>
      <c r="Z60" s="7">
        <f t="shared" si="53"/>
        <v>0</v>
      </c>
    </row>
    <row r="61" spans="1:26" s="24" customFormat="1" hidden="1" outlineLevel="2" x14ac:dyDescent="0.25">
      <c r="A61" s="29"/>
      <c r="B61" s="11" t="str">
        <f>CONCATENATE("          ", "6286", " - ", "LAUNDRY EXPENSE")</f>
        <v xml:space="preserve">          6286 - LAUNDRY EXPENSE</v>
      </c>
      <c r="C61" s="11"/>
      <c r="D61" s="6">
        <v>181.58</v>
      </c>
      <c r="E61" s="2"/>
      <c r="F61" s="7">
        <f t="shared" si="46"/>
        <v>2.0678676956428555E-3</v>
      </c>
      <c r="G61" s="2"/>
      <c r="H61" s="6"/>
      <c r="I61" s="2"/>
      <c r="J61" s="7">
        <f t="shared" si="47"/>
        <v>0</v>
      </c>
      <c r="K61" s="2"/>
      <c r="L61" s="6">
        <f t="shared" si="48"/>
        <v>181.58</v>
      </c>
      <c r="M61" s="2"/>
      <c r="N61" s="7">
        <f t="shared" si="49"/>
        <v>0</v>
      </c>
      <c r="O61" s="11"/>
      <c r="P61" s="6">
        <v>255.44</v>
      </c>
      <c r="Q61" s="2"/>
      <c r="R61" s="7">
        <f t="shared" si="50"/>
        <v>1.5112627054276601E-3</v>
      </c>
      <c r="S61" s="2"/>
      <c r="T61" s="6"/>
      <c r="U61" s="2"/>
      <c r="V61" s="7">
        <f t="shared" si="51"/>
        <v>0</v>
      </c>
      <c r="W61" s="2"/>
      <c r="X61" s="6">
        <f t="shared" si="52"/>
        <v>255.44</v>
      </c>
      <c r="Y61" s="2"/>
      <c r="Z61" s="7">
        <f t="shared" si="53"/>
        <v>0</v>
      </c>
    </row>
    <row r="62" spans="1:26" s="28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173.04</v>
      </c>
      <c r="E62" s="1"/>
      <c r="F62" s="5">
        <f t="shared" ref="F62:F71" si="54">IF(D$12=0,0,D62/D$12)</f>
        <v>1.9706125457321271E-3</v>
      </c>
      <c r="G62" s="1"/>
      <c r="H62" s="1">
        <f>SUM(OSRRefH22_12x_0)</f>
        <v>0</v>
      </c>
      <c r="I62" s="1"/>
      <c r="J62" s="5">
        <f t="shared" ref="J62:J71" si="55">IF(H$12=0,0,H62/H$12)</f>
        <v>0</v>
      </c>
      <c r="K62" s="1"/>
      <c r="L62" s="1">
        <f t="shared" ref="L62:L71" si="56">+D62-H62</f>
        <v>173.04</v>
      </c>
      <c r="M62" s="1"/>
      <c r="N62" s="5">
        <f t="shared" ref="N62:N71" si="57">IF(H62=0,0,L62/H62)</f>
        <v>0</v>
      </c>
      <c r="O62" s="14"/>
      <c r="P62" s="1">
        <f>SUM(OSRRefP22_12x_0)</f>
        <v>173.04</v>
      </c>
      <c r="Q62" s="1"/>
      <c r="R62" s="5">
        <f t="shared" ref="R62:R71" si="58">IF(P$12=0,0,P62/P$12)</f>
        <v>1.0237586069026083E-3</v>
      </c>
      <c r="S62" s="1"/>
      <c r="T62" s="1">
        <f>SUM(OSRRefT22_12x_0)</f>
        <v>0</v>
      </c>
      <c r="U62" s="1"/>
      <c r="V62" s="5">
        <f t="shared" ref="V62:V71" si="59">IF(T$12=0,0,T62/T$12)</f>
        <v>0</v>
      </c>
      <c r="W62" s="1"/>
      <c r="X62" s="1">
        <f t="shared" ref="X62:X71" si="60">+P62-T62</f>
        <v>173.04</v>
      </c>
      <c r="Y62" s="1"/>
      <c r="Z62" s="5">
        <f t="shared" ref="Z62:Z71" si="61">IF(T62=0,0,X62/T62)</f>
        <v>0</v>
      </c>
    </row>
    <row r="63" spans="1:26" s="24" customFormat="1" hidden="1" outlineLevel="2" x14ac:dyDescent="0.25">
      <c r="A63" s="29"/>
      <c r="B63" s="11" t="str">
        <f>CONCATENATE("          ", "6275", " - ", "SUBSCRIPTIONS")</f>
        <v xml:space="preserve">          6275 - SUBSCRIPTIONS</v>
      </c>
      <c r="C63" s="11"/>
      <c r="D63" s="6">
        <v>173.04</v>
      </c>
      <c r="E63" s="2"/>
      <c r="F63" s="7">
        <f t="shared" si="54"/>
        <v>1.9706125457321271E-3</v>
      </c>
      <c r="G63" s="2"/>
      <c r="H63" s="6"/>
      <c r="I63" s="2"/>
      <c r="J63" s="7">
        <f t="shared" si="55"/>
        <v>0</v>
      </c>
      <c r="K63" s="2"/>
      <c r="L63" s="6">
        <f t="shared" si="56"/>
        <v>173.04</v>
      </c>
      <c r="M63" s="2"/>
      <c r="N63" s="7">
        <f t="shared" si="57"/>
        <v>0</v>
      </c>
      <c r="O63" s="11"/>
      <c r="P63" s="6">
        <v>173.04</v>
      </c>
      <c r="Q63" s="2"/>
      <c r="R63" s="7">
        <f t="shared" si="58"/>
        <v>1.0237586069026083E-3</v>
      </c>
      <c r="S63" s="2"/>
      <c r="T63" s="6"/>
      <c r="U63" s="2"/>
      <c r="V63" s="7">
        <f t="shared" si="59"/>
        <v>0</v>
      </c>
      <c r="W63" s="2"/>
      <c r="X63" s="6">
        <f t="shared" si="60"/>
        <v>173.04</v>
      </c>
      <c r="Y63" s="2"/>
      <c r="Z63" s="7">
        <f t="shared" si="61"/>
        <v>0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2741.66</v>
      </c>
      <c r="E64" s="1"/>
      <c r="F64" s="5">
        <f t="shared" si="54"/>
        <v>3.1222547342417611E-2</v>
      </c>
      <c r="G64" s="1"/>
      <c r="H64" s="1">
        <f>SUM(OSRRefH22_13x_0)</f>
        <v>0</v>
      </c>
      <c r="I64" s="1"/>
      <c r="J64" s="5">
        <f t="shared" si="55"/>
        <v>0</v>
      </c>
      <c r="K64" s="1"/>
      <c r="L64" s="1">
        <f t="shared" si="56"/>
        <v>2741.66</v>
      </c>
      <c r="M64" s="1"/>
      <c r="N64" s="5">
        <f t="shared" si="57"/>
        <v>0</v>
      </c>
      <c r="O64" s="14"/>
      <c r="P64" s="1">
        <f>SUM(OSRRefP22_13x_0)</f>
        <v>4381.3799999999992</v>
      </c>
      <c r="Q64" s="1"/>
      <c r="R64" s="5">
        <f t="shared" si="58"/>
        <v>2.592161052421954E-2</v>
      </c>
      <c r="S64" s="1"/>
      <c r="T64" s="1">
        <f>SUM(OSRRefT22_13x_0)</f>
        <v>0</v>
      </c>
      <c r="U64" s="1"/>
      <c r="V64" s="5">
        <f t="shared" si="59"/>
        <v>0</v>
      </c>
      <c r="W64" s="1"/>
      <c r="X64" s="1">
        <f t="shared" si="60"/>
        <v>4381.3799999999992</v>
      </c>
      <c r="Y64" s="1"/>
      <c r="Z64" s="5">
        <f t="shared" si="61"/>
        <v>0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>
        <v>193.5</v>
      </c>
      <c r="Q65" s="2"/>
      <c r="R65" s="7">
        <f t="shared" si="58"/>
        <v>1.1448063478713287E-3</v>
      </c>
      <c r="S65" s="2"/>
      <c r="T65" s="6"/>
      <c r="U65" s="2"/>
      <c r="V65" s="7">
        <f t="shared" si="59"/>
        <v>0</v>
      </c>
      <c r="W65" s="2"/>
      <c r="X65" s="6">
        <f t="shared" si="60"/>
        <v>193.5</v>
      </c>
      <c r="Y65" s="2"/>
      <c r="Z65" s="7">
        <f t="shared" si="61"/>
        <v>0</v>
      </c>
    </row>
    <row r="66" spans="1:26" s="24" customFormat="1" hidden="1" outlineLevel="2" x14ac:dyDescent="0.25">
      <c r="A66" s="29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54"/>
        <v>0</v>
      </c>
      <c r="G66" s="2"/>
      <c r="H66" s="6"/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>
        <v>48.12</v>
      </c>
      <c r="Q66" s="2"/>
      <c r="R66" s="7">
        <f t="shared" si="58"/>
        <v>2.8469292743962962E-4</v>
      </c>
      <c r="S66" s="2"/>
      <c r="T66" s="6"/>
      <c r="U66" s="2"/>
      <c r="V66" s="7">
        <f t="shared" si="59"/>
        <v>0</v>
      </c>
      <c r="W66" s="2"/>
      <c r="X66" s="6">
        <f t="shared" si="60"/>
        <v>48.12</v>
      </c>
      <c r="Y66" s="2"/>
      <c r="Z66" s="7">
        <f t="shared" si="61"/>
        <v>0</v>
      </c>
    </row>
    <row r="67" spans="1:26" s="24" customFormat="1" hidden="1" outlineLevel="2" x14ac:dyDescent="0.25">
      <c r="A67" s="29"/>
      <c r="B67" s="11" t="str">
        <f>CONCATENATE("          ", "6239", " - ", "KITCHEN SUPPLIES")</f>
        <v xml:space="preserve">          6239 - KITCHEN SUPPLIES</v>
      </c>
      <c r="C67" s="11"/>
      <c r="D67" s="6">
        <v>685.8</v>
      </c>
      <c r="E67" s="2"/>
      <c r="F67" s="7">
        <f t="shared" si="54"/>
        <v>7.8100212890839854E-3</v>
      </c>
      <c r="G67" s="2"/>
      <c r="H67" s="6"/>
      <c r="I67" s="2"/>
      <c r="J67" s="7">
        <f t="shared" si="55"/>
        <v>0</v>
      </c>
      <c r="K67" s="2"/>
      <c r="L67" s="6">
        <f t="shared" si="56"/>
        <v>685.8</v>
      </c>
      <c r="M67" s="2"/>
      <c r="N67" s="7">
        <f t="shared" si="57"/>
        <v>0</v>
      </c>
      <c r="O67" s="11"/>
      <c r="P67" s="6">
        <v>769.16</v>
      </c>
      <c r="Q67" s="2"/>
      <c r="R67" s="7">
        <f t="shared" si="58"/>
        <v>4.5505904420088429E-3</v>
      </c>
      <c r="S67" s="2"/>
      <c r="T67" s="6"/>
      <c r="U67" s="2"/>
      <c r="V67" s="7">
        <f t="shared" si="59"/>
        <v>0</v>
      </c>
      <c r="W67" s="2"/>
      <c r="X67" s="6">
        <f t="shared" si="60"/>
        <v>769.16</v>
      </c>
      <c r="Y67" s="2"/>
      <c r="Z67" s="7">
        <f t="shared" si="61"/>
        <v>0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6">
        <v>781.88</v>
      </c>
      <c r="E68" s="2"/>
      <c r="F68" s="7">
        <f t="shared" si="54"/>
        <v>8.9041986665339551E-3</v>
      </c>
      <c r="G68" s="2"/>
      <c r="H68" s="6"/>
      <c r="I68" s="2"/>
      <c r="J68" s="7">
        <f t="shared" si="55"/>
        <v>0</v>
      </c>
      <c r="K68" s="2"/>
      <c r="L68" s="6">
        <f t="shared" si="56"/>
        <v>781.88</v>
      </c>
      <c r="M68" s="2"/>
      <c r="N68" s="7">
        <f t="shared" si="57"/>
        <v>0</v>
      </c>
      <c r="O68" s="11"/>
      <c r="P68" s="6">
        <v>1632.08</v>
      </c>
      <c r="Q68" s="2"/>
      <c r="R68" s="7">
        <f t="shared" si="58"/>
        <v>9.6558942854461909E-3</v>
      </c>
      <c r="S68" s="2"/>
      <c r="T68" s="6"/>
      <c r="U68" s="2"/>
      <c r="V68" s="7">
        <f t="shared" si="59"/>
        <v>0</v>
      </c>
      <c r="W68" s="2"/>
      <c r="X68" s="6">
        <f t="shared" si="60"/>
        <v>1632.08</v>
      </c>
      <c r="Y68" s="2"/>
      <c r="Z68" s="7">
        <f t="shared" si="61"/>
        <v>0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6">
        <v>394.35</v>
      </c>
      <c r="E69" s="2"/>
      <c r="F69" s="7">
        <f t="shared" si="54"/>
        <v>4.490933064086133E-3</v>
      </c>
      <c r="G69" s="2"/>
      <c r="H69" s="6"/>
      <c r="I69" s="2"/>
      <c r="J69" s="7">
        <f t="shared" si="55"/>
        <v>0</v>
      </c>
      <c r="K69" s="2"/>
      <c r="L69" s="6">
        <f t="shared" si="56"/>
        <v>394.35</v>
      </c>
      <c r="M69" s="2"/>
      <c r="N69" s="7">
        <f t="shared" si="57"/>
        <v>0</v>
      </c>
      <c r="O69" s="11"/>
      <c r="P69" s="6">
        <v>444.91</v>
      </c>
      <c r="Q69" s="2"/>
      <c r="R69" s="7">
        <f t="shared" si="58"/>
        <v>2.6322263164415137E-3</v>
      </c>
      <c r="S69" s="2"/>
      <c r="T69" s="6"/>
      <c r="U69" s="2"/>
      <c r="V69" s="7">
        <f t="shared" si="59"/>
        <v>0</v>
      </c>
      <c r="W69" s="2"/>
      <c r="X69" s="6">
        <f t="shared" si="60"/>
        <v>444.91</v>
      </c>
      <c r="Y69" s="2"/>
      <c r="Z69" s="7">
        <f t="shared" si="61"/>
        <v>0</v>
      </c>
    </row>
    <row r="70" spans="1:26" s="24" customFormat="1" hidden="1" outlineLevel="2" x14ac:dyDescent="0.25">
      <c r="A70" s="29"/>
      <c r="B70" s="11" t="str">
        <f>CONCATENATE("          ", "6245", " - ", "PRINTING")</f>
        <v xml:space="preserve">          6245 - PRINTING</v>
      </c>
      <c r="C70" s="11"/>
      <c r="D70" s="6">
        <v>733</v>
      </c>
      <c r="E70" s="2"/>
      <c r="F70" s="7">
        <f t="shared" si="54"/>
        <v>8.3475438974898817E-3</v>
      </c>
      <c r="G70" s="2"/>
      <c r="H70" s="6"/>
      <c r="I70" s="2"/>
      <c r="J70" s="7">
        <f t="shared" si="55"/>
        <v>0</v>
      </c>
      <c r="K70" s="2"/>
      <c r="L70" s="6">
        <f t="shared" si="56"/>
        <v>733</v>
      </c>
      <c r="M70" s="2"/>
      <c r="N70" s="7">
        <f t="shared" si="57"/>
        <v>0</v>
      </c>
      <c r="O70" s="11"/>
      <c r="P70" s="6">
        <v>733</v>
      </c>
      <c r="Q70" s="2"/>
      <c r="R70" s="7">
        <f t="shared" si="58"/>
        <v>4.3366566045978496E-3</v>
      </c>
      <c r="S70" s="2"/>
      <c r="T70" s="6"/>
      <c r="U70" s="2"/>
      <c r="V70" s="7">
        <f t="shared" si="59"/>
        <v>0</v>
      </c>
      <c r="W70" s="2"/>
      <c r="X70" s="6">
        <f t="shared" si="60"/>
        <v>733</v>
      </c>
      <c r="Y70" s="2"/>
      <c r="Z70" s="7">
        <f t="shared" si="61"/>
        <v>0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6">
        <v>146.63</v>
      </c>
      <c r="E71" s="2"/>
      <c r="F71" s="7">
        <f t="shared" si="54"/>
        <v>1.6698504252236582E-3</v>
      </c>
      <c r="G71" s="2"/>
      <c r="H71" s="6"/>
      <c r="I71" s="2"/>
      <c r="J71" s="7">
        <f t="shared" si="55"/>
        <v>0</v>
      </c>
      <c r="K71" s="2"/>
      <c r="L71" s="6">
        <f t="shared" si="56"/>
        <v>146.63</v>
      </c>
      <c r="M71" s="2"/>
      <c r="N71" s="7">
        <f t="shared" si="57"/>
        <v>0</v>
      </c>
      <c r="O71" s="11"/>
      <c r="P71" s="6">
        <v>560.61</v>
      </c>
      <c r="Q71" s="2"/>
      <c r="R71" s="7">
        <f t="shared" si="58"/>
        <v>3.3167436004141893E-3</v>
      </c>
      <c r="S71" s="2"/>
      <c r="T71" s="6"/>
      <c r="U71" s="2"/>
      <c r="V71" s="7">
        <f t="shared" si="59"/>
        <v>0</v>
      </c>
      <c r="W71" s="2"/>
      <c r="X71" s="6">
        <f t="shared" si="60"/>
        <v>560.61</v>
      </c>
      <c r="Y71" s="2"/>
      <c r="Z71" s="7">
        <f t="shared" si="61"/>
        <v>0</v>
      </c>
    </row>
    <row r="72" spans="1:26" s="28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SUM(OSRRefD22_14x_0)</f>
        <v>150</v>
      </c>
      <c r="E72" s="1"/>
      <c r="F72" s="5">
        <f t="shared" ref="F72:F75" si="62">IF(D$12=0,0,D72/D$12)</f>
        <v>1.7082286284085708E-3</v>
      </c>
      <c r="G72" s="1"/>
      <c r="H72" s="1">
        <f>SUM(OSRRefH22_14x_0)</f>
        <v>8.43</v>
      </c>
      <c r="I72" s="1"/>
      <c r="J72" s="5">
        <f t="shared" ref="J72:J75" si="63">IF(H$12=0,0,H72/H$12)</f>
        <v>0</v>
      </c>
      <c r="K72" s="1"/>
      <c r="L72" s="1">
        <f t="shared" ref="L72:L75" si="64">+D72-H72</f>
        <v>141.57</v>
      </c>
      <c r="M72" s="1"/>
      <c r="N72" s="5">
        <f t="shared" ref="N72:N75" si="65">IF(H72=0,0,L72/H72)</f>
        <v>16.793594306049823</v>
      </c>
      <c r="O72" s="14"/>
      <c r="P72" s="1">
        <f>SUM(OSRRefP22_14x_0)</f>
        <v>525</v>
      </c>
      <c r="Q72" s="1"/>
      <c r="R72" s="5">
        <f t="shared" ref="R72:R75" si="66">IF(P$12=0,0,P72/P$12)</f>
        <v>3.1060637345346129E-3</v>
      </c>
      <c r="S72" s="1"/>
      <c r="T72" s="1">
        <f>SUM(OSRRefT22_14x_0)</f>
        <v>77.430000000000007</v>
      </c>
      <c r="U72" s="1"/>
      <c r="V72" s="5">
        <f t="shared" ref="V72:V75" si="67">IF(T$12=0,0,T72/T$12)</f>
        <v>0</v>
      </c>
      <c r="W72" s="1"/>
      <c r="X72" s="1">
        <f t="shared" ref="X72:X75" si="68">+P72-T72</f>
        <v>447.57</v>
      </c>
      <c r="Y72" s="1"/>
      <c r="Z72" s="5">
        <f t="shared" ref="Z72:Z75" si="69">IF(T72=0,0,X72/T72)</f>
        <v>5.7803177063153814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6">
        <v>150</v>
      </c>
      <c r="E73" s="2"/>
      <c r="F73" s="7">
        <f t="shared" si="62"/>
        <v>1.7082286284085708E-3</v>
      </c>
      <c r="G73" s="2"/>
      <c r="H73" s="6">
        <v>8.43</v>
      </c>
      <c r="I73" s="2"/>
      <c r="J73" s="7">
        <f t="shared" si="63"/>
        <v>0</v>
      </c>
      <c r="K73" s="2"/>
      <c r="L73" s="6">
        <f t="shared" si="64"/>
        <v>141.57</v>
      </c>
      <c r="M73" s="2"/>
      <c r="N73" s="7">
        <f t="shared" si="65"/>
        <v>16.793594306049823</v>
      </c>
      <c r="O73" s="11"/>
      <c r="P73" s="6">
        <v>525</v>
      </c>
      <c r="Q73" s="2"/>
      <c r="R73" s="7">
        <f t="shared" si="66"/>
        <v>3.1060637345346129E-3</v>
      </c>
      <c r="S73" s="2"/>
      <c r="T73" s="6">
        <v>77.430000000000007</v>
      </c>
      <c r="U73" s="2"/>
      <c r="V73" s="7">
        <f t="shared" si="67"/>
        <v>0</v>
      </c>
      <c r="W73" s="2"/>
      <c r="X73" s="6">
        <f t="shared" si="68"/>
        <v>447.57</v>
      </c>
      <c r="Y73" s="2"/>
      <c r="Z73" s="7">
        <f t="shared" si="69"/>
        <v>5.7803177063153814</v>
      </c>
    </row>
    <row r="74" spans="1:26" s="28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SUM(OSRRefD22_15x_0)</f>
        <v>200</v>
      </c>
      <c r="E74" s="1"/>
      <c r="F74" s="5">
        <f t="shared" si="62"/>
        <v>2.2776381712114276E-3</v>
      </c>
      <c r="G74" s="1"/>
      <c r="H74" s="1">
        <f>SUM(OSRRefH22_15x_0)</f>
        <v>348</v>
      </c>
      <c r="I74" s="1"/>
      <c r="J74" s="5">
        <f t="shared" si="63"/>
        <v>0</v>
      </c>
      <c r="K74" s="1"/>
      <c r="L74" s="1">
        <f t="shared" si="64"/>
        <v>-148</v>
      </c>
      <c r="M74" s="1"/>
      <c r="N74" s="5">
        <f t="shared" si="65"/>
        <v>-0.42528735632183906</v>
      </c>
      <c r="O74" s="14"/>
      <c r="P74" s="1">
        <f>SUM(OSRRefP22_15x_0)</f>
        <v>800</v>
      </c>
      <c r="Q74" s="1"/>
      <c r="R74" s="5">
        <f t="shared" si="66"/>
        <v>4.7330495002432197E-3</v>
      </c>
      <c r="S74" s="1"/>
      <c r="T74" s="1">
        <f>SUM(OSRRefT22_15x_0)</f>
        <v>348</v>
      </c>
      <c r="U74" s="1"/>
      <c r="V74" s="5">
        <f t="shared" si="67"/>
        <v>0</v>
      </c>
      <c r="W74" s="1"/>
      <c r="X74" s="1">
        <f t="shared" si="68"/>
        <v>452</v>
      </c>
      <c r="Y74" s="1"/>
      <c r="Z74" s="5">
        <f t="shared" si="69"/>
        <v>1.2988505747126438</v>
      </c>
    </row>
    <row r="75" spans="1:26" s="24" customFormat="1" hidden="1" outlineLevel="2" x14ac:dyDescent="0.25">
      <c r="A75" s="29"/>
      <c r="B75" s="11" t="str">
        <f>CONCATENATE("          ", "6274", " - ", "UTILITIES")</f>
        <v xml:space="preserve">          6274 - UTILITIES</v>
      </c>
      <c r="C75" s="11"/>
      <c r="D75" s="6">
        <v>200</v>
      </c>
      <c r="E75" s="2"/>
      <c r="F75" s="7">
        <f t="shared" si="62"/>
        <v>2.2776381712114276E-3</v>
      </c>
      <c r="G75" s="2"/>
      <c r="H75" s="6">
        <v>348</v>
      </c>
      <c r="I75" s="2"/>
      <c r="J75" s="7">
        <f t="shared" si="63"/>
        <v>0</v>
      </c>
      <c r="K75" s="2"/>
      <c r="L75" s="6">
        <f t="shared" si="64"/>
        <v>-148</v>
      </c>
      <c r="M75" s="2"/>
      <c r="N75" s="7">
        <f t="shared" si="65"/>
        <v>-0.42528735632183906</v>
      </c>
      <c r="O75" s="11"/>
      <c r="P75" s="6">
        <v>800</v>
      </c>
      <c r="Q75" s="2"/>
      <c r="R75" s="7">
        <f t="shared" si="66"/>
        <v>4.7330495002432197E-3</v>
      </c>
      <c r="S75" s="2"/>
      <c r="T75" s="6">
        <v>348</v>
      </c>
      <c r="U75" s="2"/>
      <c r="V75" s="7">
        <f t="shared" si="67"/>
        <v>0</v>
      </c>
      <c r="W75" s="2"/>
      <c r="X75" s="6">
        <f t="shared" si="68"/>
        <v>452</v>
      </c>
      <c r="Y75" s="2"/>
      <c r="Z75" s="7">
        <f t="shared" si="69"/>
        <v>1.2988505747126438</v>
      </c>
    </row>
    <row r="76" spans="1:26" s="56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5" t="s">
        <v>292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276</v>
      </c>
      <c r="C79" s="26"/>
      <c r="D79" s="22">
        <f>+D20-D22+D77</f>
        <v>4109.7300000000032</v>
      </c>
      <c r="E79" s="13"/>
      <c r="F79" s="20">
        <f>IF(D$12=0,0,D79/D$12)</f>
        <v>4.680238960686374E-2</v>
      </c>
      <c r="G79" s="13"/>
      <c r="H79" s="22">
        <f>+H20-H22+H77</f>
        <v>-5704.4400000000005</v>
      </c>
      <c r="I79" s="13"/>
      <c r="J79" s="20">
        <f>IF(H$12=0,0,H79/H$12)</f>
        <v>0</v>
      </c>
      <c r="K79" s="15"/>
      <c r="L79" s="22">
        <f>+D79-H79</f>
        <v>9814.1700000000037</v>
      </c>
      <c r="M79" s="15"/>
      <c r="N79" s="20">
        <f>IF(H79=0,0,L79/H79)</f>
        <v>-1.7204440751414694</v>
      </c>
      <c r="O79" s="25"/>
      <c r="P79" s="22">
        <f>+P20-P22+P77</f>
        <v>-25009.320000000007</v>
      </c>
      <c r="Q79" s="13"/>
      <c r="R79" s="20">
        <f>IF(P$12=0,0,P79/P$12)</f>
        <v>-0.14796293690927848</v>
      </c>
      <c r="S79" s="13"/>
      <c r="T79" s="22">
        <f>+T20-T22+T77</f>
        <v>-28102.84</v>
      </c>
      <c r="U79" s="13"/>
      <c r="V79" s="20">
        <f>IF(T$12=0,0,T79/T$12)</f>
        <v>0</v>
      </c>
      <c r="W79" s="15"/>
      <c r="X79" s="22">
        <f>+P79-T79</f>
        <v>3093.5199999999932</v>
      </c>
      <c r="Y79" s="15"/>
      <c r="Z79" s="20">
        <f>IF(T79=0,0,X79/T79)</f>
        <v>-0.11007855433828016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127</v>
      </c>
      <c r="C81" s="10"/>
      <c r="D81" s="4">
        <v>9485.49</v>
      </c>
      <c r="E81" s="4"/>
      <c r="F81" s="12">
        <f>IF(D$12=0,0,D81/D$12)</f>
        <v>0.10802257048322142</v>
      </c>
      <c r="G81" s="4"/>
      <c r="H81" s="4"/>
      <c r="I81" s="4"/>
      <c r="J81" s="12">
        <f>IF(H$12=0,0,H81/H$12)</f>
        <v>0</v>
      </c>
      <c r="K81" s="4"/>
      <c r="L81" s="4">
        <f>+D81-H81</f>
        <v>9485.49</v>
      </c>
      <c r="M81" s="4"/>
      <c r="N81" s="12">
        <f>IF(H81=0,0,L81/H81)</f>
        <v>0</v>
      </c>
      <c r="O81" s="10"/>
      <c r="P81" s="4">
        <v>19537.8</v>
      </c>
      <c r="Q81" s="4"/>
      <c r="R81" s="12">
        <f>IF(P$12=0,0,P81/P$12)</f>
        <v>0.11559171815731496</v>
      </c>
      <c r="S81" s="4"/>
      <c r="T81" s="4"/>
      <c r="U81" s="4"/>
      <c r="V81" s="12">
        <f>IF(T$12=0,0,T81/T$12)</f>
        <v>0</v>
      </c>
      <c r="W81" s="4"/>
      <c r="X81" s="4">
        <f>+P81-T81</f>
        <v>19537.8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125</v>
      </c>
      <c r="C83" s="26"/>
      <c r="D83" s="33">
        <f>+D79-D81</f>
        <v>-5375.7599999999966</v>
      </c>
      <c r="E83" s="13"/>
      <c r="F83" s="31">
        <f>IF(D$12=0,0,D83/D$12)</f>
        <v>-6.122018087635768E-2</v>
      </c>
      <c r="G83" s="13"/>
      <c r="H83" s="33">
        <f>+H79-H81</f>
        <v>-5704.4400000000005</v>
      </c>
      <c r="I83" s="13"/>
      <c r="J83" s="31">
        <f>IF(H$12=0,0,H83/H$12)</f>
        <v>0</v>
      </c>
      <c r="K83" s="15"/>
      <c r="L83" s="33">
        <f>D83-H83</f>
        <v>328.68000000000393</v>
      </c>
      <c r="M83" s="15"/>
      <c r="N83" s="31">
        <f>IF(H83=0,0,L83/H83)</f>
        <v>-5.7618276290048433E-2</v>
      </c>
      <c r="O83" s="25"/>
      <c r="P83" s="33">
        <f>+P79-P81</f>
        <v>-44547.12000000001</v>
      </c>
      <c r="Q83" s="13"/>
      <c r="R83" s="31">
        <f>IF(P$12=0,0,P83/P$12)</f>
        <v>-0.26355465506659348</v>
      </c>
      <c r="S83" s="13"/>
      <c r="T83" s="33">
        <f>+T79-T81</f>
        <v>-28102.84</v>
      </c>
      <c r="U83" s="13"/>
      <c r="V83" s="31">
        <f>IF(T$12=0,0,T83/T$12)</f>
        <v>0</v>
      </c>
      <c r="W83" s="15"/>
      <c r="X83" s="33">
        <f>P83-T83</f>
        <v>-16444.28000000001</v>
      </c>
      <c r="Y83" s="15"/>
      <c r="Z83" s="31">
        <f>IF(T83=0,0,X83/T83)</f>
        <v>0.58514655458309583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293</v>
      </c>
      <c r="C86" s="26"/>
      <c r="D86" s="34">
        <f>SUM(D83:D85)</f>
        <v>-5375.7599999999966</v>
      </c>
      <c r="E86" s="13"/>
      <c r="F86" s="30">
        <f>IF(D$12=0,0,D86/D$12)</f>
        <v>-6.122018087635768E-2</v>
      </c>
      <c r="G86" s="13"/>
      <c r="H86" s="34">
        <f>SUM(H83:H85)</f>
        <v>-5704.4400000000005</v>
      </c>
      <c r="I86" s="13"/>
      <c r="J86" s="30">
        <f>IF(H$12=0,0,H86/H$12)</f>
        <v>0</v>
      </c>
      <c r="K86" s="15"/>
      <c r="L86" s="34">
        <f>+D86-H86</f>
        <v>328.68000000000393</v>
      </c>
      <c r="M86" s="15"/>
      <c r="N86" s="30">
        <f>IF(H86=0,0,L86/H86)</f>
        <v>-5.7618276290048433E-2</v>
      </c>
      <c r="O86" s="25"/>
      <c r="P86" s="34">
        <f>SUM(P83:P85)</f>
        <v>-44547.12000000001</v>
      </c>
      <c r="Q86" s="13"/>
      <c r="R86" s="30">
        <f>IF(P$12=0,0,P86/P$12)</f>
        <v>-0.26355465506659348</v>
      </c>
      <c r="S86" s="13"/>
      <c r="T86" s="34">
        <f>SUM(T83:T85)</f>
        <v>-28102.84</v>
      </c>
      <c r="U86" s="13"/>
      <c r="V86" s="30">
        <f>IF(T$12=0,0,T86/T$12)</f>
        <v>0</v>
      </c>
      <c r="W86" s="15"/>
      <c r="X86" s="34">
        <f>+P86-T86</f>
        <v>-16444.28000000001</v>
      </c>
      <c r="Y86" s="15"/>
      <c r="Z86" s="30">
        <f>IF(T86=0,0,X86/T86)</f>
        <v>0.58514655458309583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1">
        <v>44517.967041516204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7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8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0</v>
      </c>
      <c r="E18" s="21"/>
      <c r="F18" s="36">
        <f t="shared" ref="F18:F28" si="0">IF(D$12=0,0,D18/D$12)</f>
        <v>0</v>
      </c>
      <c r="G18" s="21"/>
      <c r="H18" s="21">
        <f>SUM(OSRRefH22x_0)</f>
        <v>132.75</v>
      </c>
      <c r="I18" s="21"/>
      <c r="J18" s="36">
        <f t="shared" ref="J18:J28" si="1">IF(H$12=0,0,H18/H$12)</f>
        <v>0</v>
      </c>
      <c r="K18" s="4"/>
      <c r="L18" s="21">
        <f t="shared" ref="L18:L28" si="2">+D18-H18</f>
        <v>-132.75</v>
      </c>
      <c r="M18" s="4"/>
      <c r="N18" s="36">
        <f t="shared" ref="N18:N28" si="3">IF(H18=0,0,L18/H18)</f>
        <v>-1</v>
      </c>
      <c r="O18" s="10"/>
      <c r="P18" s="21">
        <f>SUM(OSRRefP22x_0)</f>
        <v>69.290000000000006</v>
      </c>
      <c r="Q18" s="21"/>
      <c r="R18" s="36">
        <f t="shared" ref="R18:R28" si="4">IF(P$12=0,0,P18/P$12)</f>
        <v>0</v>
      </c>
      <c r="S18" s="21"/>
      <c r="T18" s="21">
        <f>SUM(OSRRefT22x_0)</f>
        <v>1436.11</v>
      </c>
      <c r="U18" s="21"/>
      <c r="V18" s="36">
        <f t="shared" ref="V18:V28" si="5">IF(T$12=0,0,T18/T$12)</f>
        <v>0</v>
      </c>
      <c r="W18" s="4"/>
      <c r="X18" s="21">
        <f t="shared" ref="X18:X28" si="6">+P18-T18</f>
        <v>-1366.82</v>
      </c>
      <c r="Y18" s="4"/>
      <c r="Z18" s="36">
        <f t="shared" ref="Z18:Z28" si="7">IF(T18=0,0,X18/T18)</f>
        <v>-0.95175160677106907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660.8</v>
      </c>
      <c r="U20" s="2"/>
      <c r="V20" s="7">
        <f t="shared" si="5"/>
        <v>0</v>
      </c>
      <c r="W20" s="2"/>
      <c r="X20" s="6">
        <f t="shared" si="6"/>
        <v>-660.8</v>
      </c>
      <c r="Y20" s="2"/>
      <c r="Z20" s="7">
        <f t="shared" si="7"/>
        <v>-1</v>
      </c>
    </row>
    <row r="21" spans="1:26" s="28" customFormat="1" outlineLevel="1" collapsed="1" x14ac:dyDescent="0.25">
      <c r="A21" s="27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478.2</v>
      </c>
      <c r="U21" s="1"/>
      <c r="V21" s="5">
        <f t="shared" si="5"/>
        <v>0</v>
      </c>
      <c r="W21" s="1"/>
      <c r="X21" s="1">
        <f t="shared" si="6"/>
        <v>-478.2</v>
      </c>
      <c r="Y21" s="1"/>
      <c r="Z21" s="5">
        <f t="shared" si="7"/>
        <v>-1</v>
      </c>
    </row>
    <row r="22" spans="1:26" s="24" customFormat="1" hidden="1" outlineLevel="2" x14ac:dyDescent="0.25">
      <c r="A22" s="29"/>
      <c r="B22" s="11" t="str">
        <f>CONCATENATE("          ", "6322", " - ", "EQUIPMENT DEPRECIATION EXPENSE")</f>
        <v xml:space="preserve">          6322 - EQUIPMENT DEPRECIATION EXPENSE</v>
      </c>
      <c r="C22" s="11"/>
      <c r="D22" s="6"/>
      <c r="E22" s="2"/>
      <c r="F22" s="7">
        <f t="shared" si="0"/>
        <v>0</v>
      </c>
      <c r="G22" s="2"/>
      <c r="H22" s="6">
        <v>119.55</v>
      </c>
      <c r="I22" s="2"/>
      <c r="J22" s="7">
        <f t="shared" si="1"/>
        <v>0</v>
      </c>
      <c r="K22" s="2"/>
      <c r="L22" s="6">
        <f t="shared" si="2"/>
        <v>-119.55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478.2</v>
      </c>
      <c r="U22" s="2"/>
      <c r="V22" s="7">
        <f t="shared" si="5"/>
        <v>0</v>
      </c>
      <c r="W22" s="2"/>
      <c r="X22" s="6">
        <f t="shared" si="6"/>
        <v>-478.2</v>
      </c>
      <c r="Y22" s="2"/>
      <c r="Z22" s="7">
        <f t="shared" si="7"/>
        <v>-1</v>
      </c>
    </row>
    <row r="23" spans="1:26" s="28" customFormat="1" outlineLevel="1" collapsed="1" x14ac:dyDescent="0.25">
      <c r="A23" s="27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25">
      <c r="A24" s="29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64.02</v>
      </c>
      <c r="U24" s="2"/>
      <c r="V24" s="7">
        <f t="shared" si="5"/>
        <v>0</v>
      </c>
      <c r="W24" s="2"/>
      <c r="X24" s="6">
        <f t="shared" si="6"/>
        <v>-64.02</v>
      </c>
      <c r="Y24" s="2"/>
      <c r="Z24" s="7">
        <f t="shared" si="7"/>
        <v>-1</v>
      </c>
    </row>
    <row r="25" spans="1:26" s="28" customFormat="1" outlineLevel="1" collapsed="1" x14ac:dyDescent="0.25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69.290000000000006</v>
      </c>
      <c r="Q25" s="1"/>
      <c r="R25" s="5">
        <f t="shared" si="4"/>
        <v>0</v>
      </c>
      <c r="S25" s="1"/>
      <c r="T25" s="1">
        <f>SUM(OSRRefT22_3x_0)</f>
        <v>147.88999999999999</v>
      </c>
      <c r="U25" s="1"/>
      <c r="V25" s="5">
        <f t="shared" si="5"/>
        <v>0</v>
      </c>
      <c r="W25" s="1"/>
      <c r="X25" s="1">
        <f t="shared" si="6"/>
        <v>-78.59999999999998</v>
      </c>
      <c r="Y25" s="1"/>
      <c r="Z25" s="5">
        <f t="shared" si="7"/>
        <v>-0.5314760970991953</v>
      </c>
    </row>
    <row r="26" spans="1:26" s="24" customFormat="1" hidden="1" outlineLevel="2" x14ac:dyDescent="0.25">
      <c r="A26" s="29"/>
      <c r="B26" s="11" t="str">
        <f>CONCATENATE("          ", "6373", " - ", "MAINTENANCE CONTRACTS")</f>
        <v xml:space="preserve">          6373 - MAINTENANCE CONTRACTS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69.290000000000006</v>
      </c>
      <c r="Q26" s="2"/>
      <c r="R26" s="7">
        <f t="shared" si="4"/>
        <v>0</v>
      </c>
      <c r="S26" s="2"/>
      <c r="T26" s="6">
        <v>147.88999999999999</v>
      </c>
      <c r="U26" s="2"/>
      <c r="V26" s="7">
        <f t="shared" si="5"/>
        <v>0</v>
      </c>
      <c r="W26" s="2"/>
      <c r="X26" s="6">
        <f t="shared" si="6"/>
        <v>-78.59999999999998</v>
      </c>
      <c r="Y26" s="2"/>
      <c r="Z26" s="7">
        <f t="shared" si="7"/>
        <v>-0.5314760970991953</v>
      </c>
    </row>
    <row r="27" spans="1:26" s="28" customFormat="1" outlineLevel="1" collapsed="1" x14ac:dyDescent="0.2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13.2</v>
      </c>
      <c r="I27" s="1"/>
      <c r="J27" s="5">
        <f t="shared" si="1"/>
        <v>0</v>
      </c>
      <c r="K27" s="1"/>
      <c r="L27" s="1">
        <f t="shared" si="2"/>
        <v>-13.2</v>
      </c>
      <c r="M27" s="1"/>
      <c r="N27" s="5">
        <f t="shared" si="3"/>
        <v>-1</v>
      </c>
      <c r="O27" s="14"/>
      <c r="P27" s="1">
        <f>SUM(OSRRefP22_4x_0)</f>
        <v>0</v>
      </c>
      <c r="Q27" s="1"/>
      <c r="R27" s="5">
        <f t="shared" si="4"/>
        <v>0</v>
      </c>
      <c r="S27" s="1"/>
      <c r="T27" s="1">
        <f>SUM(OSRRefT22_4x_0)</f>
        <v>85.2</v>
      </c>
      <c r="U27" s="1"/>
      <c r="V27" s="5">
        <f t="shared" si="5"/>
        <v>0</v>
      </c>
      <c r="W27" s="1"/>
      <c r="X27" s="1">
        <f t="shared" si="6"/>
        <v>-85.2</v>
      </c>
      <c r="Y27" s="1"/>
      <c r="Z27" s="5">
        <f t="shared" si="7"/>
        <v>-1</v>
      </c>
    </row>
    <row r="28" spans="1:26" s="24" customFormat="1" hidden="1" outlineLevel="2" x14ac:dyDescent="0.25">
      <c r="A28" s="29"/>
      <c r="B28" s="11" t="str">
        <f>CONCATENATE("          ", "6309", " - ", "TELEPHONE")</f>
        <v xml:space="preserve">          6309 - TELEPHONE</v>
      </c>
      <c r="C28" s="11"/>
      <c r="D28" s="6"/>
      <c r="E28" s="2"/>
      <c r="F28" s="7">
        <f t="shared" si="0"/>
        <v>0</v>
      </c>
      <c r="G28" s="2"/>
      <c r="H28" s="6">
        <v>13.2</v>
      </c>
      <c r="I28" s="2"/>
      <c r="J28" s="7">
        <f t="shared" si="1"/>
        <v>0</v>
      </c>
      <c r="K28" s="2"/>
      <c r="L28" s="6">
        <f t="shared" si="2"/>
        <v>-13.2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85.2</v>
      </c>
      <c r="U28" s="2"/>
      <c r="V28" s="7">
        <f t="shared" si="5"/>
        <v>0</v>
      </c>
      <c r="W28" s="2"/>
      <c r="X28" s="6">
        <f t="shared" si="6"/>
        <v>-85.2</v>
      </c>
      <c r="Y28" s="2"/>
      <c r="Z28" s="7">
        <f t="shared" si="7"/>
        <v>-1</v>
      </c>
    </row>
    <row r="29" spans="1:26" s="56" customFormat="1" x14ac:dyDescent="0.25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276</v>
      </c>
      <c r="C32" s="26"/>
      <c r="D32" s="22">
        <f>+D16-D18+D30</f>
        <v>0</v>
      </c>
      <c r="E32" s="13"/>
      <c r="F32" s="20">
        <f>IF(D$12=0,0,D32/D$12)</f>
        <v>0</v>
      </c>
      <c r="G32" s="13"/>
      <c r="H32" s="22">
        <f>+H16-H18+H30</f>
        <v>-132.75</v>
      </c>
      <c r="I32" s="13"/>
      <c r="J32" s="20">
        <f>IF(H$12=0,0,H32/H$12)</f>
        <v>0</v>
      </c>
      <c r="K32" s="15"/>
      <c r="L32" s="22">
        <f>+D32-H32</f>
        <v>132.75</v>
      </c>
      <c r="M32" s="15"/>
      <c r="N32" s="20">
        <f>IF(H32=0,0,L32/H32)</f>
        <v>-1</v>
      </c>
      <c r="O32" s="25"/>
      <c r="P32" s="22">
        <f>+P16-P18+P30</f>
        <v>-69.290000000000006</v>
      </c>
      <c r="Q32" s="13"/>
      <c r="R32" s="20">
        <f>IF(P$12=0,0,P32/P$12)</f>
        <v>0</v>
      </c>
      <c r="S32" s="13"/>
      <c r="T32" s="22">
        <f>+T16-T18+T30</f>
        <v>-1436.11</v>
      </c>
      <c r="U32" s="13"/>
      <c r="V32" s="20">
        <f>IF(T$12=0,0,T32/T$12)</f>
        <v>0</v>
      </c>
      <c r="W32" s="15"/>
      <c r="X32" s="22">
        <f>+P32-T32</f>
        <v>1366.82</v>
      </c>
      <c r="Y32" s="15"/>
      <c r="Z32" s="20">
        <f>IF(T32=0,0,X32/T32)</f>
        <v>-0.95175160677106907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125</v>
      </c>
      <c r="C36" s="26"/>
      <c r="D36" s="33">
        <f>+D32-D34</f>
        <v>0</v>
      </c>
      <c r="E36" s="13"/>
      <c r="F36" s="31">
        <f>IF(D$12=0,0,D36/D$12)</f>
        <v>0</v>
      </c>
      <c r="G36" s="13"/>
      <c r="H36" s="33">
        <f>+H32-H34</f>
        <v>-132.75</v>
      </c>
      <c r="I36" s="13"/>
      <c r="J36" s="31">
        <f>IF(H$12=0,0,H36/H$12)</f>
        <v>0</v>
      </c>
      <c r="K36" s="15"/>
      <c r="L36" s="33">
        <f>D36-H36</f>
        <v>132.75</v>
      </c>
      <c r="M36" s="15"/>
      <c r="N36" s="31">
        <f>IF(H36=0,0,L36/H36)</f>
        <v>-1</v>
      </c>
      <c r="O36" s="25"/>
      <c r="P36" s="33">
        <f>+P32-P34</f>
        <v>-69.290000000000006</v>
      </c>
      <c r="Q36" s="13"/>
      <c r="R36" s="31">
        <f>IF(P$12=0,0,P36/P$12)</f>
        <v>0</v>
      </c>
      <c r="S36" s="13"/>
      <c r="T36" s="33">
        <f>+T32-T34</f>
        <v>-1436.11</v>
      </c>
      <c r="U36" s="13"/>
      <c r="V36" s="31">
        <f>IF(T$12=0,0,T36/T$12)</f>
        <v>0</v>
      </c>
      <c r="W36" s="15"/>
      <c r="X36" s="33">
        <f>P36-T36</f>
        <v>1366.82</v>
      </c>
      <c r="Y36" s="15"/>
      <c r="Z36" s="31">
        <f>IF(T36=0,0,X36/T36)</f>
        <v>-0.95175160677106907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293</v>
      </c>
      <c r="C39" s="26"/>
      <c r="D39" s="34">
        <f>SUM(D36:D38)</f>
        <v>0</v>
      </c>
      <c r="E39" s="13"/>
      <c r="F39" s="30">
        <f>IF(D$12=0,0,D39/D$12)</f>
        <v>0</v>
      </c>
      <c r="G39" s="13"/>
      <c r="H39" s="34">
        <f>SUM(H36:H38)</f>
        <v>-132.75</v>
      </c>
      <c r="I39" s="13"/>
      <c r="J39" s="30">
        <f>IF(H$12=0,0,H39/H$12)</f>
        <v>0</v>
      </c>
      <c r="K39" s="15"/>
      <c r="L39" s="34">
        <f>+D39-H39</f>
        <v>132.75</v>
      </c>
      <c r="M39" s="15"/>
      <c r="N39" s="30">
        <f>IF(H39=0,0,L39/H39)</f>
        <v>-1</v>
      </c>
      <c r="O39" s="25"/>
      <c r="P39" s="34">
        <f>SUM(P36:P38)</f>
        <v>-69.290000000000006</v>
      </c>
      <c r="Q39" s="13"/>
      <c r="R39" s="30">
        <f>IF(P$12=0,0,P39/P$12)</f>
        <v>0</v>
      </c>
      <c r="S39" s="13"/>
      <c r="T39" s="34">
        <f>SUM(T36:T38)</f>
        <v>-1436.11</v>
      </c>
      <c r="U39" s="13"/>
      <c r="V39" s="30">
        <f>IF(T$12=0,0,T39/T$12)</f>
        <v>0</v>
      </c>
      <c r="W39" s="15"/>
      <c r="X39" s="34">
        <f>+P39-T39</f>
        <v>1366.82</v>
      </c>
      <c r="Y39" s="15"/>
      <c r="Z39" s="30">
        <f>IF(T39=0,0,X39/T39)</f>
        <v>-0.95175160677106907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1">
        <v>44517.967041516204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8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56438.829999999994</v>
      </c>
      <c r="E18" s="21"/>
      <c r="F18" s="36">
        <f t="shared" ref="F18:F27" si="0">IF(D$12=0,0,D18/D$12)</f>
        <v>0</v>
      </c>
      <c r="G18" s="21"/>
      <c r="H18" s="21">
        <f>SUM(OSRRefH22x_0)</f>
        <v>25379.569999999992</v>
      </c>
      <c r="I18" s="21"/>
      <c r="J18" s="36">
        <f t="shared" ref="J18:J27" si="1">IF(H$12=0,0,H18/H$12)</f>
        <v>0</v>
      </c>
      <c r="K18" s="4"/>
      <c r="L18" s="21">
        <f t="shared" ref="L18:L27" si="2">+D18-H18</f>
        <v>31059.260000000002</v>
      </c>
      <c r="M18" s="4"/>
      <c r="N18" s="36">
        <f t="shared" ref="N18:N27" si="3">IF(H18=0,0,L18/H18)</f>
        <v>1.2237898435631498</v>
      </c>
      <c r="O18" s="10"/>
      <c r="P18" s="21">
        <f>SUM(OSRRefP22x_0)</f>
        <v>206194.11000000002</v>
      </c>
      <c r="Q18" s="21"/>
      <c r="R18" s="36">
        <f t="shared" ref="R18:R27" si="4">IF(P$12=0,0,P18/P$12)</f>
        <v>0</v>
      </c>
      <c r="S18" s="21"/>
      <c r="T18" s="21">
        <f>SUM(OSRRefT22x_0)</f>
        <v>84131.72000000003</v>
      </c>
      <c r="U18" s="21"/>
      <c r="V18" s="36">
        <f t="shared" ref="V18:V27" si="5">IF(T$12=0,0,T18/T$12)</f>
        <v>0</v>
      </c>
      <c r="W18" s="4"/>
      <c r="X18" s="21">
        <f t="shared" ref="X18:X27" si="6">+P18-T18</f>
        <v>122062.38999999998</v>
      </c>
      <c r="Y18" s="4"/>
      <c r="Z18" s="36">
        <f t="shared" ref="Z18:Z27" si="7">IF(T18=0,0,X18/T18)</f>
        <v>1.4508486216613656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12482.669999999998</v>
      </c>
      <c r="E19" s="1"/>
      <c r="F19" s="5">
        <f t="shared" si="0"/>
        <v>0</v>
      </c>
      <c r="G19" s="1"/>
      <c r="H19" s="1">
        <f>SUM(OSRRefH22_0x_0)</f>
        <v>7813.98</v>
      </c>
      <c r="I19" s="1"/>
      <c r="J19" s="5">
        <f t="shared" si="1"/>
        <v>0</v>
      </c>
      <c r="K19" s="1"/>
      <c r="L19" s="1">
        <f t="shared" si="2"/>
        <v>4668.6899999999987</v>
      </c>
      <c r="M19" s="1"/>
      <c r="N19" s="5">
        <f t="shared" si="3"/>
        <v>0.59747913355293958</v>
      </c>
      <c r="O19" s="14"/>
      <c r="P19" s="1">
        <f>SUM(OSRRefP22_0x_0)</f>
        <v>39843.360000000001</v>
      </c>
      <c r="Q19" s="1"/>
      <c r="R19" s="5">
        <f t="shared" si="4"/>
        <v>0</v>
      </c>
      <c r="S19" s="1"/>
      <c r="T19" s="1">
        <f>SUM(OSRRefT22_0x_0)</f>
        <v>24611.69</v>
      </c>
      <c r="U19" s="1"/>
      <c r="V19" s="5">
        <f t="shared" si="5"/>
        <v>0</v>
      </c>
      <c r="W19" s="1"/>
      <c r="X19" s="1">
        <f t="shared" si="6"/>
        <v>15231.670000000002</v>
      </c>
      <c r="Y19" s="1"/>
      <c r="Z19" s="5">
        <f t="shared" si="7"/>
        <v>0.61887948369250556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2044.79</v>
      </c>
      <c r="E20" s="2"/>
      <c r="F20" s="7">
        <f t="shared" si="0"/>
        <v>0</v>
      </c>
      <c r="G20" s="2"/>
      <c r="H20" s="6">
        <v>2199.04</v>
      </c>
      <c r="I20" s="2"/>
      <c r="J20" s="7">
        <f t="shared" si="1"/>
        <v>0</v>
      </c>
      <c r="K20" s="2"/>
      <c r="L20" s="6">
        <f t="shared" si="2"/>
        <v>-154.25</v>
      </c>
      <c r="M20" s="2"/>
      <c r="N20" s="7">
        <f t="shared" si="3"/>
        <v>-7.0144244761350408E-2</v>
      </c>
      <c r="O20" s="11"/>
      <c r="P20" s="6">
        <v>6167.38</v>
      </c>
      <c r="Q20" s="2"/>
      <c r="R20" s="7">
        <f t="shared" si="4"/>
        <v>0</v>
      </c>
      <c r="S20" s="2"/>
      <c r="T20" s="6">
        <v>4898.5600000000004</v>
      </c>
      <c r="U20" s="2"/>
      <c r="V20" s="7">
        <f t="shared" si="5"/>
        <v>0</v>
      </c>
      <c r="W20" s="2"/>
      <c r="X20" s="6">
        <f t="shared" si="6"/>
        <v>1268.8199999999997</v>
      </c>
      <c r="Y20" s="2"/>
      <c r="Z20" s="7">
        <f t="shared" si="7"/>
        <v>0.25901897700548726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337.02</v>
      </c>
      <c r="E21" s="2"/>
      <c r="F21" s="7">
        <f t="shared" si="0"/>
        <v>0</v>
      </c>
      <c r="G21" s="2"/>
      <c r="H21" s="6">
        <v>36.53</v>
      </c>
      <c r="I21" s="2"/>
      <c r="J21" s="7">
        <f t="shared" si="1"/>
        <v>0</v>
      </c>
      <c r="K21" s="2"/>
      <c r="L21" s="6">
        <f t="shared" si="2"/>
        <v>300.49</v>
      </c>
      <c r="M21" s="2"/>
      <c r="N21" s="7">
        <f t="shared" si="3"/>
        <v>8.2258417738844791</v>
      </c>
      <c r="O21" s="11"/>
      <c r="P21" s="6">
        <v>1007.18</v>
      </c>
      <c r="Q21" s="2"/>
      <c r="R21" s="7">
        <f t="shared" si="4"/>
        <v>0</v>
      </c>
      <c r="S21" s="2"/>
      <c r="T21" s="6">
        <v>235.35</v>
      </c>
      <c r="U21" s="2"/>
      <c r="V21" s="7">
        <f t="shared" si="5"/>
        <v>0</v>
      </c>
      <c r="W21" s="2"/>
      <c r="X21" s="6">
        <f t="shared" si="6"/>
        <v>771.82999999999993</v>
      </c>
      <c r="Y21" s="2"/>
      <c r="Z21" s="7">
        <f t="shared" si="7"/>
        <v>3.2794986190779687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3318.36</v>
      </c>
      <c r="E22" s="2"/>
      <c r="F22" s="7">
        <f t="shared" si="0"/>
        <v>0</v>
      </c>
      <c r="G22" s="2"/>
      <c r="H22" s="6">
        <v>1950.75</v>
      </c>
      <c r="I22" s="2"/>
      <c r="J22" s="7">
        <f t="shared" si="1"/>
        <v>0</v>
      </c>
      <c r="K22" s="2"/>
      <c r="L22" s="6">
        <f t="shared" si="2"/>
        <v>1367.6100000000001</v>
      </c>
      <c r="M22" s="2"/>
      <c r="N22" s="7">
        <f t="shared" si="3"/>
        <v>0.70106881968473667</v>
      </c>
      <c r="O22" s="11"/>
      <c r="P22" s="6">
        <v>13292.19</v>
      </c>
      <c r="Q22" s="2"/>
      <c r="R22" s="7">
        <f t="shared" si="4"/>
        <v>0</v>
      </c>
      <c r="S22" s="2"/>
      <c r="T22" s="6">
        <v>6668.97</v>
      </c>
      <c r="U22" s="2"/>
      <c r="V22" s="7">
        <f t="shared" si="5"/>
        <v>0</v>
      </c>
      <c r="W22" s="2"/>
      <c r="X22" s="6">
        <f t="shared" si="6"/>
        <v>6623.22</v>
      </c>
      <c r="Y22" s="2"/>
      <c r="Z22" s="7">
        <f t="shared" si="7"/>
        <v>0.99313987017485461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67.930000000000007</v>
      </c>
      <c r="E23" s="2"/>
      <c r="F23" s="7">
        <f t="shared" si="0"/>
        <v>0</v>
      </c>
      <c r="G23" s="2"/>
      <c r="H23" s="6">
        <v>28.78</v>
      </c>
      <c r="I23" s="2"/>
      <c r="J23" s="7">
        <f t="shared" si="1"/>
        <v>0</v>
      </c>
      <c r="K23" s="2"/>
      <c r="L23" s="6">
        <f t="shared" si="2"/>
        <v>39.150000000000006</v>
      </c>
      <c r="M23" s="2"/>
      <c r="N23" s="7">
        <f t="shared" si="3"/>
        <v>1.3603196664350246</v>
      </c>
      <c r="O23" s="11"/>
      <c r="P23" s="6">
        <v>202.99</v>
      </c>
      <c r="Q23" s="2"/>
      <c r="R23" s="7">
        <f t="shared" si="4"/>
        <v>0</v>
      </c>
      <c r="S23" s="2"/>
      <c r="T23" s="6">
        <v>120.53</v>
      </c>
      <c r="U23" s="2"/>
      <c r="V23" s="7">
        <f t="shared" si="5"/>
        <v>0</v>
      </c>
      <c r="W23" s="2"/>
      <c r="X23" s="6">
        <f t="shared" si="6"/>
        <v>82.460000000000008</v>
      </c>
      <c r="Y23" s="2"/>
      <c r="Z23" s="7">
        <f t="shared" si="7"/>
        <v>0.6841450261345724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2809.81</v>
      </c>
      <c r="E24" s="2"/>
      <c r="F24" s="7">
        <f t="shared" si="0"/>
        <v>0</v>
      </c>
      <c r="G24" s="2"/>
      <c r="H24" s="6">
        <v>1221.05</v>
      </c>
      <c r="I24" s="2"/>
      <c r="J24" s="7">
        <f t="shared" si="1"/>
        <v>0</v>
      </c>
      <c r="K24" s="2"/>
      <c r="L24" s="6">
        <f t="shared" si="2"/>
        <v>1588.76</v>
      </c>
      <c r="M24" s="2"/>
      <c r="N24" s="7">
        <f t="shared" si="3"/>
        <v>1.3011424593587486</v>
      </c>
      <c r="O24" s="11"/>
      <c r="P24" s="6">
        <v>8429.44</v>
      </c>
      <c r="Q24" s="2"/>
      <c r="R24" s="7">
        <f t="shared" si="4"/>
        <v>0</v>
      </c>
      <c r="S24" s="2"/>
      <c r="T24" s="6">
        <v>5205.7700000000004</v>
      </c>
      <c r="U24" s="2"/>
      <c r="V24" s="7">
        <f t="shared" si="5"/>
        <v>0</v>
      </c>
      <c r="W24" s="2"/>
      <c r="X24" s="6">
        <f t="shared" si="6"/>
        <v>3223.67</v>
      </c>
      <c r="Y24" s="2"/>
      <c r="Z24" s="7">
        <f t="shared" si="7"/>
        <v>0.61924940978952192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6">
        <v>2278.41</v>
      </c>
      <c r="E25" s="2"/>
      <c r="F25" s="7">
        <f t="shared" si="0"/>
        <v>0</v>
      </c>
      <c r="G25" s="2"/>
      <c r="H25" s="6">
        <v>1533.78</v>
      </c>
      <c r="I25" s="2"/>
      <c r="J25" s="7">
        <f t="shared" si="1"/>
        <v>0</v>
      </c>
      <c r="K25" s="2"/>
      <c r="L25" s="6">
        <f t="shared" si="2"/>
        <v>744.62999999999988</v>
      </c>
      <c r="M25" s="2"/>
      <c r="N25" s="7">
        <f t="shared" si="3"/>
        <v>0.48548683644329688</v>
      </c>
      <c r="O25" s="11"/>
      <c r="P25" s="6">
        <v>6835.23</v>
      </c>
      <c r="Q25" s="2"/>
      <c r="R25" s="7">
        <f t="shared" si="4"/>
        <v>0</v>
      </c>
      <c r="S25" s="2"/>
      <c r="T25" s="6">
        <v>4793.4799999999996</v>
      </c>
      <c r="U25" s="2"/>
      <c r="V25" s="7">
        <f t="shared" si="5"/>
        <v>0</v>
      </c>
      <c r="W25" s="2"/>
      <c r="X25" s="6">
        <f t="shared" si="6"/>
        <v>2041.75</v>
      </c>
      <c r="Y25" s="2"/>
      <c r="Z25" s="7">
        <f t="shared" si="7"/>
        <v>0.4259431561203969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6">
        <v>1191.21</v>
      </c>
      <c r="E26" s="2"/>
      <c r="F26" s="7">
        <f t="shared" si="0"/>
        <v>0</v>
      </c>
      <c r="G26" s="2"/>
      <c r="H26" s="6">
        <v>765.87</v>
      </c>
      <c r="I26" s="2"/>
      <c r="J26" s="7">
        <f t="shared" si="1"/>
        <v>0</v>
      </c>
      <c r="K26" s="2"/>
      <c r="L26" s="6">
        <f t="shared" si="2"/>
        <v>425.34000000000003</v>
      </c>
      <c r="M26" s="2"/>
      <c r="N26" s="7">
        <f t="shared" si="3"/>
        <v>0.55536840455952063</v>
      </c>
      <c r="O26" s="11"/>
      <c r="P26" s="6">
        <v>2722.95</v>
      </c>
      <c r="Q26" s="2"/>
      <c r="R26" s="7">
        <f t="shared" si="4"/>
        <v>0</v>
      </c>
      <c r="S26" s="2"/>
      <c r="T26" s="6">
        <v>2393.5500000000002</v>
      </c>
      <c r="U26" s="2"/>
      <c r="V26" s="7">
        <f t="shared" si="5"/>
        <v>0</v>
      </c>
      <c r="W26" s="2"/>
      <c r="X26" s="6">
        <f t="shared" si="6"/>
        <v>329.39999999999964</v>
      </c>
      <c r="Y26" s="2"/>
      <c r="Z26" s="7">
        <f t="shared" si="7"/>
        <v>0.1376198533558938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6">
        <v>435.14</v>
      </c>
      <c r="E27" s="2"/>
      <c r="F27" s="7">
        <f t="shared" si="0"/>
        <v>0</v>
      </c>
      <c r="G27" s="2"/>
      <c r="H27" s="6">
        <v>78.180000000000007</v>
      </c>
      <c r="I27" s="2"/>
      <c r="J27" s="7">
        <f t="shared" si="1"/>
        <v>0</v>
      </c>
      <c r="K27" s="2"/>
      <c r="L27" s="6">
        <f t="shared" si="2"/>
        <v>356.96</v>
      </c>
      <c r="M27" s="2"/>
      <c r="N27" s="7">
        <f t="shared" si="3"/>
        <v>4.5658736249680221</v>
      </c>
      <c r="O27" s="11"/>
      <c r="P27" s="6">
        <v>1186</v>
      </c>
      <c r="Q27" s="2"/>
      <c r="R27" s="7">
        <f t="shared" si="4"/>
        <v>0</v>
      </c>
      <c r="S27" s="2"/>
      <c r="T27" s="6">
        <v>295.48</v>
      </c>
      <c r="U27" s="2"/>
      <c r="V27" s="7">
        <f t="shared" si="5"/>
        <v>0</v>
      </c>
      <c r="W27" s="2"/>
      <c r="X27" s="6">
        <f t="shared" si="6"/>
        <v>890.52</v>
      </c>
      <c r="Y27" s="2"/>
      <c r="Z27" s="7">
        <f t="shared" si="7"/>
        <v>3.0138080411533772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18497.079999999998</v>
      </c>
      <c r="E28" s="1"/>
      <c r="F28" s="5">
        <f t="shared" ref="F28:F33" si="8">IF(D$12=0,0,D28/D$12)</f>
        <v>0</v>
      </c>
      <c r="G28" s="1"/>
      <c r="H28" s="1">
        <f>SUM(OSRRefH22_1x_0)</f>
        <v>10516.14</v>
      </c>
      <c r="I28" s="1"/>
      <c r="J28" s="5">
        <f t="shared" ref="J28:J33" si="9">IF(H$12=0,0,H28/H$12)</f>
        <v>0</v>
      </c>
      <c r="K28" s="1"/>
      <c r="L28" s="1">
        <f t="shared" ref="L28:L33" si="10">+D28-H28</f>
        <v>7980.9399999999987</v>
      </c>
      <c r="M28" s="1"/>
      <c r="N28" s="5">
        <f t="shared" ref="N28:N33" si="11">IF(H28=0,0,L28/H28)</f>
        <v>0.75892295081655425</v>
      </c>
      <c r="O28" s="14"/>
      <c r="P28" s="1">
        <f>SUM(OSRRefP22_1x_0)</f>
        <v>73008.850000000006</v>
      </c>
      <c r="Q28" s="1"/>
      <c r="R28" s="5">
        <f t="shared" ref="R28:R33" si="12">IF(P$12=0,0,P28/P$12)</f>
        <v>0</v>
      </c>
      <c r="S28" s="1"/>
      <c r="T28" s="1">
        <f>SUM(OSRRefT22_1x_0)</f>
        <v>45942.03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27066.820000000007</v>
      </c>
      <c r="Y28" s="1"/>
      <c r="Z28" s="5">
        <f t="shared" ref="Z28:Z33" si="15">IF(T28=0,0,X28/T28)</f>
        <v>0.58915158951400293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6">
        <v>10516.14</v>
      </c>
      <c r="E29" s="2"/>
      <c r="F29" s="7">
        <f t="shared" si="8"/>
        <v>0</v>
      </c>
      <c r="G29" s="2"/>
      <c r="H29" s="6">
        <v>10516.14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43723.66</v>
      </c>
      <c r="Q29" s="2"/>
      <c r="R29" s="7">
        <f t="shared" si="12"/>
        <v>0</v>
      </c>
      <c r="S29" s="2"/>
      <c r="T29" s="6">
        <v>43862.03</v>
      </c>
      <c r="U29" s="2"/>
      <c r="V29" s="7">
        <f t="shared" si="13"/>
        <v>0</v>
      </c>
      <c r="W29" s="2"/>
      <c r="X29" s="6">
        <f t="shared" si="14"/>
        <v>-138.36999999999534</v>
      </c>
      <c r="Y29" s="2"/>
      <c r="Z29" s="7">
        <f t="shared" si="15"/>
        <v>-3.1546647521784868E-3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6">
        <v>7377.14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7377.14</v>
      </c>
      <c r="M30" s="2"/>
      <c r="N30" s="7">
        <f t="shared" si="11"/>
        <v>0</v>
      </c>
      <c r="O30" s="11"/>
      <c r="P30" s="6">
        <v>26742.41</v>
      </c>
      <c r="Q30" s="2"/>
      <c r="R30" s="7">
        <f t="shared" si="12"/>
        <v>0</v>
      </c>
      <c r="S30" s="2"/>
      <c r="T30" s="6">
        <v>2080</v>
      </c>
      <c r="U30" s="2"/>
      <c r="V30" s="7">
        <f t="shared" si="13"/>
        <v>0</v>
      </c>
      <c r="W30" s="2"/>
      <c r="X30" s="6">
        <f t="shared" si="14"/>
        <v>24662.41</v>
      </c>
      <c r="Y30" s="2"/>
      <c r="Z30" s="7">
        <f t="shared" si="15"/>
        <v>11.856927884615384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6">
        <v>603.79999999999995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603.79999999999995</v>
      </c>
      <c r="M31" s="2"/>
      <c r="N31" s="7">
        <f t="shared" si="11"/>
        <v>0</v>
      </c>
      <c r="O31" s="11"/>
      <c r="P31" s="6">
        <v>916.3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916.3</v>
      </c>
      <c r="Y31" s="2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1626.48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1626.48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0</v>
      </c>
      <c r="Q33" s="2"/>
      <c r="R33" s="7">
        <f t="shared" si="12"/>
        <v>0</v>
      </c>
      <c r="S33" s="2"/>
      <c r="T33" s="6"/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8" customFormat="1" outlineLevel="1" collapsed="1" x14ac:dyDescent="0.25">
      <c r="A34" s="27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242.7</v>
      </c>
      <c r="E34" s="1"/>
      <c r="F34" s="5">
        <f t="shared" ref="F34:F38" si="16">IF(D$12=0,0,D34/D$12)</f>
        <v>0</v>
      </c>
      <c r="G34" s="1"/>
      <c r="H34" s="1">
        <f>SUM(OSRRefH22_2x_0)</f>
        <v>382.85</v>
      </c>
      <c r="I34" s="1"/>
      <c r="J34" s="5">
        <f t="shared" ref="J34:J38" si="17">IF(H$12=0,0,H34/H$12)</f>
        <v>0</v>
      </c>
      <c r="K34" s="1"/>
      <c r="L34" s="1">
        <f t="shared" ref="L34:L38" si="18">+D34-H34</f>
        <v>-140.15000000000003</v>
      </c>
      <c r="M34" s="1"/>
      <c r="N34" s="5">
        <f t="shared" ref="N34:N38" si="19">IF(H34=0,0,L34/H34)</f>
        <v>-0.36607026250489755</v>
      </c>
      <c r="O34" s="14"/>
      <c r="P34" s="1">
        <f>SUM(OSRRefP22_2x_0)</f>
        <v>971.43</v>
      </c>
      <c r="Q34" s="1"/>
      <c r="R34" s="5">
        <f t="shared" ref="R34:R38" si="20">IF(P$12=0,0,P34/P$12)</f>
        <v>0</v>
      </c>
      <c r="S34" s="1"/>
      <c r="T34" s="1">
        <f>SUM(OSRRefT22_2x_0)</f>
        <v>1426.66</v>
      </c>
      <c r="U34" s="1"/>
      <c r="V34" s="5">
        <f t="shared" ref="V34:V38" si="21">IF(T$12=0,0,T34/T$12)</f>
        <v>0</v>
      </c>
      <c r="W34" s="1"/>
      <c r="X34" s="1">
        <f t="shared" ref="X34:X38" si="22">+P34-T34</f>
        <v>-455.23000000000013</v>
      </c>
      <c r="Y34" s="1"/>
      <c r="Z34" s="5">
        <f t="shared" ref="Z34:Z38" si="23">IF(T34=0,0,X34/T34)</f>
        <v>-0.31908793966326954</v>
      </c>
    </row>
    <row r="35" spans="1:26" s="24" customFormat="1" hidden="1" outlineLevel="2" x14ac:dyDescent="0.25">
      <c r="A35" s="29"/>
      <c r="B35" s="11" t="str">
        <f>CONCATENATE("          ", "6381", " - ", "BANK/CREDIT CARD FEES")</f>
        <v xml:space="preserve">          6381 - BANK/CREDIT CARD FEES</v>
      </c>
      <c r="C35" s="11"/>
      <c r="D35" s="6">
        <v>242.7</v>
      </c>
      <c r="E35" s="2"/>
      <c r="F35" s="7">
        <f t="shared" si="16"/>
        <v>0</v>
      </c>
      <c r="G35" s="2"/>
      <c r="H35" s="6">
        <v>382.85</v>
      </c>
      <c r="I35" s="2"/>
      <c r="J35" s="7">
        <f t="shared" si="17"/>
        <v>0</v>
      </c>
      <c r="K35" s="2"/>
      <c r="L35" s="6">
        <f t="shared" si="18"/>
        <v>-140.15000000000003</v>
      </c>
      <c r="M35" s="2"/>
      <c r="N35" s="7">
        <f t="shared" si="19"/>
        <v>-0.36607026250489755</v>
      </c>
      <c r="O35" s="11"/>
      <c r="P35" s="6">
        <v>971.43</v>
      </c>
      <c r="Q35" s="2"/>
      <c r="R35" s="7">
        <f t="shared" si="20"/>
        <v>0</v>
      </c>
      <c r="S35" s="2"/>
      <c r="T35" s="6">
        <v>1426.66</v>
      </c>
      <c r="U35" s="2"/>
      <c r="V35" s="7">
        <f t="shared" si="21"/>
        <v>0</v>
      </c>
      <c r="W35" s="2"/>
      <c r="X35" s="6">
        <f t="shared" si="22"/>
        <v>-455.23000000000013</v>
      </c>
      <c r="Y35" s="2"/>
      <c r="Z35" s="7">
        <f t="shared" si="23"/>
        <v>-0.31908793966326954</v>
      </c>
    </row>
    <row r="36" spans="1:26" s="28" customFormat="1" outlineLevel="1" collapsed="1" x14ac:dyDescent="0.25">
      <c r="A36" s="27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5331.53</v>
      </c>
      <c r="E36" s="1"/>
      <c r="F36" s="5">
        <f t="shared" si="16"/>
        <v>0</v>
      </c>
      <c r="G36" s="1"/>
      <c r="H36" s="1">
        <f>SUM(OSRRefH22_3x_0)</f>
        <v>6779.8600000000006</v>
      </c>
      <c r="I36" s="1"/>
      <c r="J36" s="5">
        <f t="shared" si="17"/>
        <v>0</v>
      </c>
      <c r="K36" s="1"/>
      <c r="L36" s="1">
        <f t="shared" si="18"/>
        <v>-1448.3300000000008</v>
      </c>
      <c r="M36" s="1"/>
      <c r="N36" s="5">
        <f t="shared" si="19"/>
        <v>-0.21362240518240799</v>
      </c>
      <c r="O36" s="14"/>
      <c r="P36" s="1">
        <f>SUM(OSRRefP22_3x_0)</f>
        <v>21326.12</v>
      </c>
      <c r="Q36" s="1"/>
      <c r="R36" s="5">
        <f t="shared" si="20"/>
        <v>0</v>
      </c>
      <c r="S36" s="1"/>
      <c r="T36" s="1">
        <f>SUM(OSRRefT22_3x_0)</f>
        <v>27903.63</v>
      </c>
      <c r="U36" s="1"/>
      <c r="V36" s="5">
        <f t="shared" si="21"/>
        <v>0</v>
      </c>
      <c r="W36" s="1"/>
      <c r="X36" s="1">
        <f t="shared" si="22"/>
        <v>-6577.510000000002</v>
      </c>
      <c r="Y36" s="1"/>
      <c r="Z36" s="5">
        <f t="shared" si="23"/>
        <v>-0.23572237733943582</v>
      </c>
    </row>
    <row r="37" spans="1:26" s="24" customFormat="1" hidden="1" outlineLevel="2" x14ac:dyDescent="0.25">
      <c r="A37" s="29"/>
      <c r="B37" s="11" t="str">
        <f>CONCATENATE("          ", "6321", " - ", "BUILDING DEPRECIATION")</f>
        <v xml:space="preserve">          6321 - BUILDING DEPRECIATION</v>
      </c>
      <c r="C37" s="11"/>
      <c r="D37" s="6">
        <v>1822.68</v>
      </c>
      <c r="E37" s="2"/>
      <c r="F37" s="7">
        <f t="shared" si="16"/>
        <v>0</v>
      </c>
      <c r="G37" s="2"/>
      <c r="H37" s="6">
        <v>1822.68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7290.72</v>
      </c>
      <c r="Q37" s="2"/>
      <c r="R37" s="7">
        <f t="shared" si="20"/>
        <v>0</v>
      </c>
      <c r="S37" s="2"/>
      <c r="T37" s="6">
        <v>8074.91</v>
      </c>
      <c r="U37" s="2"/>
      <c r="V37" s="7">
        <f t="shared" si="21"/>
        <v>0</v>
      </c>
      <c r="W37" s="2"/>
      <c r="X37" s="6">
        <f t="shared" si="22"/>
        <v>-784.1899999999996</v>
      </c>
      <c r="Y37" s="2"/>
      <c r="Z37" s="7">
        <f t="shared" si="23"/>
        <v>-9.7114395083041122E-2</v>
      </c>
    </row>
    <row r="38" spans="1:26" s="24" customFormat="1" hidden="1" outlineLevel="2" x14ac:dyDescent="0.25">
      <c r="A38" s="29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3508.85</v>
      </c>
      <c r="E38" s="2"/>
      <c r="F38" s="7">
        <f t="shared" si="16"/>
        <v>0</v>
      </c>
      <c r="G38" s="2"/>
      <c r="H38" s="6">
        <v>4957.18</v>
      </c>
      <c r="I38" s="2"/>
      <c r="J38" s="7">
        <f t="shared" si="17"/>
        <v>0</v>
      </c>
      <c r="K38" s="2"/>
      <c r="L38" s="6">
        <f t="shared" si="18"/>
        <v>-1448.3300000000004</v>
      </c>
      <c r="M38" s="2"/>
      <c r="N38" s="7">
        <f t="shared" si="19"/>
        <v>-0.29216812784688073</v>
      </c>
      <c r="O38" s="11"/>
      <c r="P38" s="6">
        <v>14035.4</v>
      </c>
      <c r="Q38" s="2"/>
      <c r="R38" s="7">
        <f t="shared" si="20"/>
        <v>0</v>
      </c>
      <c r="S38" s="2"/>
      <c r="T38" s="6">
        <v>19828.72</v>
      </c>
      <c r="U38" s="2"/>
      <c r="V38" s="7">
        <f t="shared" si="21"/>
        <v>0</v>
      </c>
      <c r="W38" s="2"/>
      <c r="X38" s="6">
        <f t="shared" si="22"/>
        <v>-5793.3200000000015</v>
      </c>
      <c r="Y38" s="2"/>
      <c r="Z38" s="7">
        <f t="shared" si="23"/>
        <v>-0.29216812784688073</v>
      </c>
    </row>
    <row r="39" spans="1:26" s="28" customFormat="1" outlineLevel="1" collapsed="1" x14ac:dyDescent="0.25">
      <c r="A39" s="27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ref="F39:F52" si="24">IF(D$12=0,0,D39/D$12)</f>
        <v>0</v>
      </c>
      <c r="G39" s="1"/>
      <c r="H39" s="1">
        <f>SUM(OSRRefH22_4x_0)</f>
        <v>0</v>
      </c>
      <c r="I39" s="1"/>
      <c r="J39" s="5">
        <f t="shared" ref="J39:J52" si="25">IF(H$12=0,0,H39/H$12)</f>
        <v>0</v>
      </c>
      <c r="K39" s="1"/>
      <c r="L39" s="1">
        <f t="shared" ref="L39:L52" si="26">+D39-H39</f>
        <v>0</v>
      </c>
      <c r="M39" s="1"/>
      <c r="N39" s="5">
        <f t="shared" ref="N39:N52" si="27">IF(H39=0,0,L39/H39)</f>
        <v>0</v>
      </c>
      <c r="O39" s="14"/>
      <c r="P39" s="1">
        <f>SUM(OSRRefP22_4x_0)</f>
        <v>18</v>
      </c>
      <c r="Q39" s="1"/>
      <c r="R39" s="5">
        <f t="shared" ref="R39:R52" si="28">IF(P$12=0,0,P39/P$12)</f>
        <v>0</v>
      </c>
      <c r="S39" s="1"/>
      <c r="T39" s="1">
        <f>SUM(OSRRefT22_4x_0)</f>
        <v>0</v>
      </c>
      <c r="U39" s="1"/>
      <c r="V39" s="5">
        <f t="shared" ref="V39:V52" si="29">IF(T$12=0,0,T39/T$12)</f>
        <v>0</v>
      </c>
      <c r="W39" s="1"/>
      <c r="X39" s="1">
        <f t="shared" ref="X39:X52" si="30">+P39-T39</f>
        <v>18</v>
      </c>
      <c r="Y39" s="1"/>
      <c r="Z39" s="5">
        <f t="shared" ref="Z39:Z52" si="31">IF(T39=0,0,X39/T39)</f>
        <v>0</v>
      </c>
    </row>
    <row r="40" spans="1:26" s="24" customFormat="1" hidden="1" outlineLevel="2" x14ac:dyDescent="0.25">
      <c r="A40" s="29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18</v>
      </c>
      <c r="Q40" s="2"/>
      <c r="R40" s="7">
        <f t="shared" si="28"/>
        <v>0</v>
      </c>
      <c r="S40" s="2"/>
      <c r="T40" s="6"/>
      <c r="U40" s="2"/>
      <c r="V40" s="7">
        <f t="shared" si="29"/>
        <v>0</v>
      </c>
      <c r="W40" s="2"/>
      <c r="X40" s="6">
        <f t="shared" si="30"/>
        <v>18</v>
      </c>
      <c r="Y40" s="2"/>
      <c r="Z40" s="7">
        <f t="shared" si="31"/>
        <v>0</v>
      </c>
    </row>
    <row r="41" spans="1:26" s="28" customFormat="1" outlineLevel="1" collapsed="1" x14ac:dyDescent="0.25">
      <c r="A41" s="27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91.26</v>
      </c>
      <c r="E41" s="1"/>
      <c r="F41" s="5">
        <f t="shared" si="24"/>
        <v>0</v>
      </c>
      <c r="G41" s="1"/>
      <c r="H41" s="1">
        <f>SUM(OSRRefH22_5x_0)</f>
        <v>1576.83</v>
      </c>
      <c r="I41" s="1"/>
      <c r="J41" s="5">
        <f t="shared" si="25"/>
        <v>0</v>
      </c>
      <c r="K41" s="1"/>
      <c r="L41" s="1">
        <f t="shared" si="26"/>
        <v>-1485.57</v>
      </c>
      <c r="M41" s="1"/>
      <c r="N41" s="5">
        <f t="shared" si="27"/>
        <v>-0.94212438880538807</v>
      </c>
      <c r="O41" s="14"/>
      <c r="P41" s="1">
        <f>SUM(OSRRefP22_5x_0)</f>
        <v>365.04</v>
      </c>
      <c r="Q41" s="1"/>
      <c r="R41" s="5">
        <f t="shared" si="28"/>
        <v>0</v>
      </c>
      <c r="S41" s="1"/>
      <c r="T41" s="1">
        <f>SUM(OSRRefT22_5x_0)</f>
        <v>2178.71</v>
      </c>
      <c r="U41" s="1"/>
      <c r="V41" s="5">
        <f t="shared" si="29"/>
        <v>0</v>
      </c>
      <c r="W41" s="1"/>
      <c r="X41" s="1">
        <f t="shared" si="30"/>
        <v>-1813.67</v>
      </c>
      <c r="Y41" s="1"/>
      <c r="Z41" s="5">
        <f t="shared" si="31"/>
        <v>-0.83245131293288233</v>
      </c>
    </row>
    <row r="42" spans="1:26" s="24" customFormat="1" hidden="1" outlineLevel="2" x14ac:dyDescent="0.25">
      <c r="A42" s="29"/>
      <c r="B42" s="11" t="str">
        <f>CONCATENATE("          ", "6351", " - ", "EQUIPMENT RENTAL")</f>
        <v xml:space="preserve">          6351 - EQUIPMENT RENTAL</v>
      </c>
      <c r="C42" s="11"/>
      <c r="D42" s="6">
        <v>91.26</v>
      </c>
      <c r="E42" s="2"/>
      <c r="F42" s="7">
        <f t="shared" si="24"/>
        <v>0</v>
      </c>
      <c r="G42" s="2"/>
      <c r="H42" s="6">
        <v>1576.83</v>
      </c>
      <c r="I42" s="2"/>
      <c r="J42" s="7">
        <f t="shared" si="25"/>
        <v>0</v>
      </c>
      <c r="K42" s="2"/>
      <c r="L42" s="6">
        <f t="shared" si="26"/>
        <v>-1485.57</v>
      </c>
      <c r="M42" s="2"/>
      <c r="N42" s="7">
        <f t="shared" si="27"/>
        <v>-0.94212438880538807</v>
      </c>
      <c r="O42" s="11"/>
      <c r="P42" s="6">
        <v>365.04</v>
      </c>
      <c r="Q42" s="2"/>
      <c r="R42" s="7">
        <f t="shared" si="28"/>
        <v>0</v>
      </c>
      <c r="S42" s="2"/>
      <c r="T42" s="6">
        <v>2178.71</v>
      </c>
      <c r="U42" s="2"/>
      <c r="V42" s="7">
        <f t="shared" si="29"/>
        <v>0</v>
      </c>
      <c r="W42" s="2"/>
      <c r="X42" s="6">
        <f t="shared" si="30"/>
        <v>-1813.67</v>
      </c>
      <c r="Y42" s="2"/>
      <c r="Z42" s="7">
        <f t="shared" si="31"/>
        <v>-0.83245131293288233</v>
      </c>
    </row>
    <row r="43" spans="1:26" s="28" customFormat="1" outlineLevel="1" collapsed="1" x14ac:dyDescent="0.25">
      <c r="A43" s="27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-5.41</v>
      </c>
      <c r="U43" s="1"/>
      <c r="V43" s="5">
        <f t="shared" si="29"/>
        <v>0</v>
      </c>
      <c r="W43" s="1"/>
      <c r="X43" s="1">
        <f t="shared" si="30"/>
        <v>5.41</v>
      </c>
      <c r="Y43" s="1"/>
      <c r="Z43" s="5">
        <f t="shared" si="31"/>
        <v>-1</v>
      </c>
    </row>
    <row r="44" spans="1:26" s="24" customFormat="1" hidden="1" outlineLevel="2" x14ac:dyDescent="0.25">
      <c r="A44" s="29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-5.41</v>
      </c>
      <c r="U44" s="2"/>
      <c r="V44" s="7">
        <f t="shared" si="29"/>
        <v>0</v>
      </c>
      <c r="W44" s="2"/>
      <c r="X44" s="6">
        <f t="shared" si="30"/>
        <v>5.41</v>
      </c>
      <c r="Y44" s="2"/>
      <c r="Z44" s="7">
        <f t="shared" si="31"/>
        <v>-1</v>
      </c>
    </row>
    <row r="45" spans="1:26" s="28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4"/>
      <c r="P45" s="1">
        <f>SUM(OSRRefP22_7x_0)</f>
        <v>122.51</v>
      </c>
      <c r="Q45" s="1"/>
      <c r="R45" s="5">
        <f t="shared" si="28"/>
        <v>0</v>
      </c>
      <c r="S45" s="1"/>
      <c r="T45" s="1">
        <f>SUM(OSRRefT22_7x_0)</f>
        <v>0</v>
      </c>
      <c r="U45" s="1"/>
      <c r="V45" s="5">
        <f t="shared" si="29"/>
        <v>0</v>
      </c>
      <c r="W45" s="1"/>
      <c r="X45" s="1">
        <f t="shared" si="30"/>
        <v>122.51</v>
      </c>
      <c r="Y45" s="1"/>
      <c r="Z45" s="5">
        <f t="shared" si="31"/>
        <v>0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122.51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122.51</v>
      </c>
      <c r="Y46" s="2"/>
      <c r="Z46" s="7">
        <f t="shared" si="31"/>
        <v>0</v>
      </c>
    </row>
    <row r="47" spans="1:26" s="28" customFormat="1" outlineLevel="1" collapsed="1" x14ac:dyDescent="0.25">
      <c r="A47" s="27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11767.6</v>
      </c>
      <c r="E47" s="1"/>
      <c r="F47" s="5">
        <f t="shared" si="24"/>
        <v>0</v>
      </c>
      <c r="G47" s="1"/>
      <c r="H47" s="1">
        <f>SUM(OSRRefH22_8x_0)</f>
        <v>9710.85</v>
      </c>
      <c r="I47" s="1"/>
      <c r="J47" s="5">
        <f t="shared" si="25"/>
        <v>0</v>
      </c>
      <c r="K47" s="1"/>
      <c r="L47" s="1">
        <f t="shared" si="26"/>
        <v>2056.75</v>
      </c>
      <c r="M47" s="1"/>
      <c r="N47" s="5">
        <f t="shared" si="27"/>
        <v>0.21179917308989429</v>
      </c>
      <c r="O47" s="14"/>
      <c r="P47" s="1">
        <f>SUM(OSRRefP22_8x_0)</f>
        <v>26421.4</v>
      </c>
      <c r="Q47" s="1"/>
      <c r="R47" s="5">
        <f t="shared" si="28"/>
        <v>0</v>
      </c>
      <c r="S47" s="1"/>
      <c r="T47" s="1">
        <f>SUM(OSRRefT22_8x_0)</f>
        <v>20507.400000000001</v>
      </c>
      <c r="U47" s="1"/>
      <c r="V47" s="5">
        <f t="shared" si="29"/>
        <v>0</v>
      </c>
      <c r="W47" s="1"/>
      <c r="X47" s="1">
        <f t="shared" si="30"/>
        <v>5914</v>
      </c>
      <c r="Y47" s="1"/>
      <c r="Z47" s="5">
        <f t="shared" si="31"/>
        <v>0.28838370539415037</v>
      </c>
    </row>
    <row r="48" spans="1:26" s="24" customFormat="1" hidden="1" outlineLevel="2" x14ac:dyDescent="0.25">
      <c r="A48" s="29"/>
      <c r="B48" s="11" t="str">
        <f>CONCATENATE("          ", "6314", " - ", "LIABILITY INSURANCE")</f>
        <v xml:space="preserve">          6314 - LIABILITY INSURANCE</v>
      </c>
      <c r="C48" s="11"/>
      <c r="D48" s="6">
        <v>11767.6</v>
      </c>
      <c r="E48" s="2"/>
      <c r="F48" s="7">
        <f t="shared" si="24"/>
        <v>0</v>
      </c>
      <c r="G48" s="2"/>
      <c r="H48" s="6">
        <v>9710.85</v>
      </c>
      <c r="I48" s="2"/>
      <c r="J48" s="7">
        <f t="shared" si="25"/>
        <v>0</v>
      </c>
      <c r="K48" s="2"/>
      <c r="L48" s="6">
        <f t="shared" si="26"/>
        <v>2056.75</v>
      </c>
      <c r="M48" s="2"/>
      <c r="N48" s="7">
        <f t="shared" si="27"/>
        <v>0.21179917308989429</v>
      </c>
      <c r="O48" s="11"/>
      <c r="P48" s="6">
        <v>26421.4</v>
      </c>
      <c r="Q48" s="2"/>
      <c r="R48" s="7">
        <f t="shared" si="28"/>
        <v>0</v>
      </c>
      <c r="S48" s="2"/>
      <c r="T48" s="6">
        <v>20507.400000000001</v>
      </c>
      <c r="U48" s="2"/>
      <c r="V48" s="7">
        <f t="shared" si="29"/>
        <v>0</v>
      </c>
      <c r="W48" s="2"/>
      <c r="X48" s="6">
        <f t="shared" si="30"/>
        <v>5914</v>
      </c>
      <c r="Y48" s="2"/>
      <c r="Z48" s="7">
        <f t="shared" si="31"/>
        <v>0.28838370539415037</v>
      </c>
    </row>
    <row r="49" spans="1:26" s="28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SUM(OSRRefD22_9x_0)</f>
        <v>1442.53</v>
      </c>
      <c r="E49" s="1"/>
      <c r="F49" s="5">
        <f t="shared" si="24"/>
        <v>0</v>
      </c>
      <c r="G49" s="1"/>
      <c r="H49" s="1">
        <f>SUM(OSRRefH22_9x_0)</f>
        <v>0.03</v>
      </c>
      <c r="I49" s="1"/>
      <c r="J49" s="5">
        <f t="shared" si="25"/>
        <v>0</v>
      </c>
      <c r="K49" s="1"/>
      <c r="L49" s="1">
        <f t="shared" si="26"/>
        <v>1442.5</v>
      </c>
      <c r="M49" s="1"/>
      <c r="N49" s="5">
        <f t="shared" si="27"/>
        <v>48083.333333333336</v>
      </c>
      <c r="O49" s="14"/>
      <c r="P49" s="1">
        <f>SUM(OSRRefP22_9x_0)</f>
        <v>14462.21</v>
      </c>
      <c r="Q49" s="1"/>
      <c r="R49" s="5">
        <f t="shared" si="28"/>
        <v>0</v>
      </c>
      <c r="S49" s="1"/>
      <c r="T49" s="1">
        <f>SUM(OSRRefT22_9x_0)</f>
        <v>829.35</v>
      </c>
      <c r="U49" s="1"/>
      <c r="V49" s="5">
        <f t="shared" si="29"/>
        <v>0</v>
      </c>
      <c r="W49" s="1"/>
      <c r="X49" s="1">
        <f t="shared" si="30"/>
        <v>13632.859999999999</v>
      </c>
      <c r="Y49" s="1"/>
      <c r="Z49" s="5">
        <f t="shared" si="31"/>
        <v>16.438005667088682</v>
      </c>
    </row>
    <row r="50" spans="1:26" s="24" customFormat="1" hidden="1" outlineLevel="2" x14ac:dyDescent="0.25">
      <c r="A50" s="29"/>
      <c r="B50" s="11" t="str">
        <f>CONCATENATE("          ", "6371", " - ", "COMPUTER SOFTWARE MAINTENANCE")</f>
        <v xml:space="preserve">          6371 - COMPUTER SOFTWARE MAINTENANCE</v>
      </c>
      <c r="C50" s="11"/>
      <c r="D50" s="6">
        <v>159.68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159.68</v>
      </c>
      <c r="M50" s="2"/>
      <c r="N50" s="7">
        <f t="shared" si="27"/>
        <v>0</v>
      </c>
      <c r="O50" s="11"/>
      <c r="P50" s="6">
        <v>5337.4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5337.4</v>
      </c>
      <c r="Y50" s="2"/>
      <c r="Z50" s="7">
        <f t="shared" si="31"/>
        <v>0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6">
        <v>1282.8499999999999</v>
      </c>
      <c r="E51" s="2"/>
      <c r="F51" s="7">
        <f t="shared" si="24"/>
        <v>0</v>
      </c>
      <c r="G51" s="2"/>
      <c r="H51" s="6">
        <v>0.03</v>
      </c>
      <c r="I51" s="2"/>
      <c r="J51" s="7">
        <f t="shared" si="25"/>
        <v>0</v>
      </c>
      <c r="K51" s="2"/>
      <c r="L51" s="6">
        <f t="shared" si="26"/>
        <v>1282.82</v>
      </c>
      <c r="M51" s="2"/>
      <c r="N51" s="7">
        <f t="shared" si="27"/>
        <v>42760.666666666664</v>
      </c>
      <c r="O51" s="11"/>
      <c r="P51" s="6">
        <v>1367.55</v>
      </c>
      <c r="Q51" s="2"/>
      <c r="R51" s="7">
        <f t="shared" si="28"/>
        <v>0</v>
      </c>
      <c r="S51" s="2"/>
      <c r="T51" s="6">
        <v>791.89</v>
      </c>
      <c r="U51" s="2"/>
      <c r="V51" s="7">
        <f t="shared" si="29"/>
        <v>0</v>
      </c>
      <c r="W51" s="2"/>
      <c r="X51" s="6">
        <f t="shared" si="30"/>
        <v>575.66</v>
      </c>
      <c r="Y51" s="2"/>
      <c r="Z51" s="7">
        <f t="shared" si="31"/>
        <v>0.72694439884327366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7757.26</v>
      </c>
      <c r="Q52" s="2"/>
      <c r="R52" s="7">
        <f t="shared" si="28"/>
        <v>0</v>
      </c>
      <c r="S52" s="2"/>
      <c r="T52" s="6">
        <v>37.46</v>
      </c>
      <c r="U52" s="2"/>
      <c r="V52" s="7">
        <f t="shared" si="29"/>
        <v>0</v>
      </c>
      <c r="W52" s="2"/>
      <c r="X52" s="6">
        <f t="shared" si="30"/>
        <v>7719.8</v>
      </c>
      <c r="Y52" s="2"/>
      <c r="Z52" s="7">
        <f t="shared" si="31"/>
        <v>206.08115323011211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670.1</v>
      </c>
      <c r="E53" s="1"/>
      <c r="F53" s="5">
        <f t="shared" ref="F53:F56" si="32">IF(D$12=0,0,D53/D$12)</f>
        <v>0</v>
      </c>
      <c r="G53" s="1"/>
      <c r="H53" s="1">
        <f>SUM(OSRRefH22_10x_0)</f>
        <v>4254</v>
      </c>
      <c r="I53" s="1"/>
      <c r="J53" s="5">
        <f t="shared" ref="J53:J56" si="33">IF(H$12=0,0,H53/H$12)</f>
        <v>0</v>
      </c>
      <c r="K53" s="1"/>
      <c r="L53" s="1">
        <f t="shared" ref="L53:L56" si="34">+D53-H53</f>
        <v>-3583.9</v>
      </c>
      <c r="M53" s="1"/>
      <c r="N53" s="5">
        <f t="shared" ref="N53:N56" si="35">IF(H53=0,0,L53/H53)</f>
        <v>-0.84247766807710389</v>
      </c>
      <c r="O53" s="14"/>
      <c r="P53" s="1">
        <f>SUM(OSRRefP22_10x_0)</f>
        <v>6354.72</v>
      </c>
      <c r="Q53" s="1"/>
      <c r="R53" s="5">
        <f t="shared" ref="R53:R56" si="36">IF(P$12=0,0,P53/P$12)</f>
        <v>0</v>
      </c>
      <c r="S53" s="1"/>
      <c r="T53" s="1">
        <f>SUM(OSRRefT22_10x_0)</f>
        <v>4254</v>
      </c>
      <c r="U53" s="1"/>
      <c r="V53" s="5">
        <f t="shared" ref="V53:V56" si="37">IF(T$12=0,0,T53/T$12)</f>
        <v>0</v>
      </c>
      <c r="W53" s="1"/>
      <c r="X53" s="1">
        <f t="shared" ref="X53:X56" si="38">+P53-T53</f>
        <v>2100.7200000000003</v>
      </c>
      <c r="Y53" s="1"/>
      <c r="Z53" s="5">
        <f t="shared" ref="Z53:Z56" si="39">IF(T53=0,0,X53/T53)</f>
        <v>0.49382228490832164</v>
      </c>
    </row>
    <row r="54" spans="1:26" s="24" customFormat="1" hidden="1" outlineLevel="2" x14ac:dyDescent="0.25">
      <c r="A54" s="29"/>
      <c r="B54" s="11" t="str">
        <f>CONCATENATE("          ", "6282", " - ", "JANITORIAL/EXTERMINATOR EXPENS")</f>
        <v xml:space="preserve">          6282 - JANITORIAL/EXTERMINATOR EXPENS</v>
      </c>
      <c r="C54" s="11"/>
      <c r="D54" s="6">
        <v>670.1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670.1</v>
      </c>
      <c r="M54" s="2"/>
      <c r="N54" s="7">
        <f t="shared" si="35"/>
        <v>0</v>
      </c>
      <c r="O54" s="11"/>
      <c r="P54" s="6">
        <v>2680.4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2680.4</v>
      </c>
      <c r="Y54" s="2"/>
      <c r="Z54" s="7">
        <f t="shared" si="39"/>
        <v>0</v>
      </c>
    </row>
    <row r="55" spans="1:26" s="24" customFormat="1" hidden="1" outlineLevel="2" x14ac:dyDescent="0.25">
      <c r="A55" s="29"/>
      <c r="B55" s="11" t="str">
        <f>CONCATENATE("          ", "6284", " - ", "TRASH REMOVAL EXPENSE")</f>
        <v xml:space="preserve">          6284 - TRASH REMOVAL EXPENSE</v>
      </c>
      <c r="C55" s="11"/>
      <c r="D55" s="6"/>
      <c r="E55" s="2"/>
      <c r="F55" s="7">
        <f t="shared" si="32"/>
        <v>0</v>
      </c>
      <c r="G55" s="2"/>
      <c r="H55" s="6">
        <v>4254</v>
      </c>
      <c r="I55" s="2"/>
      <c r="J55" s="7">
        <f t="shared" si="33"/>
        <v>0</v>
      </c>
      <c r="K55" s="2"/>
      <c r="L55" s="6">
        <f t="shared" si="34"/>
        <v>-4254</v>
      </c>
      <c r="M55" s="2"/>
      <c r="N55" s="7">
        <f t="shared" si="35"/>
        <v>-1</v>
      </c>
      <c r="O55" s="11"/>
      <c r="P55" s="6"/>
      <c r="Q55" s="2"/>
      <c r="R55" s="7">
        <f t="shared" si="36"/>
        <v>0</v>
      </c>
      <c r="S55" s="2"/>
      <c r="T55" s="6">
        <v>4254</v>
      </c>
      <c r="U55" s="2"/>
      <c r="V55" s="7">
        <f t="shared" si="37"/>
        <v>0</v>
      </c>
      <c r="W55" s="2"/>
      <c r="X55" s="6">
        <f t="shared" si="38"/>
        <v>-4254</v>
      </c>
      <c r="Y55" s="2"/>
      <c r="Z55" s="7">
        <f t="shared" si="39"/>
        <v>-1</v>
      </c>
    </row>
    <row r="56" spans="1:26" s="24" customFormat="1" hidden="1" outlineLevel="2" x14ac:dyDescent="0.25">
      <c r="A56" s="29"/>
      <c r="B56" s="11" t="str">
        <f>CONCATENATE("          ", "6285", " - ", "JANITORIAL SERVICES")</f>
        <v xml:space="preserve">          6285 - JANITORIAL SERVICES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3674.32</v>
      </c>
      <c r="Q56" s="2"/>
      <c r="R56" s="7">
        <f t="shared" si="36"/>
        <v>0</v>
      </c>
      <c r="S56" s="2"/>
      <c r="T56" s="6"/>
      <c r="U56" s="2"/>
      <c r="V56" s="7">
        <f t="shared" si="37"/>
        <v>0</v>
      </c>
      <c r="W56" s="2"/>
      <c r="X56" s="6">
        <f t="shared" si="38"/>
        <v>3674.32</v>
      </c>
      <c r="Y56" s="2"/>
      <c r="Z56" s="7">
        <f t="shared" si="39"/>
        <v>0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0</v>
      </c>
      <c r="E57" s="1"/>
      <c r="F57" s="5">
        <f t="shared" ref="F57:F59" si="40">IF(D$12=0,0,D57/D$12)</f>
        <v>0</v>
      </c>
      <c r="G57" s="1"/>
      <c r="H57" s="1">
        <f>SUM(OSRRefH22_11x_0)</f>
        <v>0</v>
      </c>
      <c r="I57" s="1"/>
      <c r="J57" s="5">
        <f t="shared" ref="J57:J59" si="41">IF(H$12=0,0,H57/H$12)</f>
        <v>0</v>
      </c>
      <c r="K57" s="1"/>
      <c r="L57" s="1">
        <f t="shared" ref="L57:L59" si="42">+D57-H57</f>
        <v>0</v>
      </c>
      <c r="M57" s="1"/>
      <c r="N57" s="5">
        <f t="shared" ref="N57:N59" si="43">IF(H57=0,0,L57/H57)</f>
        <v>0</v>
      </c>
      <c r="O57" s="14"/>
      <c r="P57" s="1">
        <f>SUM(OSRRefP22_11x_0)</f>
        <v>160.16</v>
      </c>
      <c r="Q57" s="1"/>
      <c r="R57" s="5">
        <f t="shared" ref="R57:R59" si="44">IF(P$12=0,0,P57/P$12)</f>
        <v>0</v>
      </c>
      <c r="S57" s="1"/>
      <c r="T57" s="1">
        <f>SUM(OSRRefT22_11x_0)</f>
        <v>-29072.880000000001</v>
      </c>
      <c r="U57" s="1"/>
      <c r="V57" s="5">
        <f t="shared" ref="V57:V59" si="45">IF(T$12=0,0,T57/T$12)</f>
        <v>0</v>
      </c>
      <c r="W57" s="1"/>
      <c r="X57" s="1">
        <f t="shared" ref="X57:X59" si="46">+P57-T57</f>
        <v>29233.040000000001</v>
      </c>
      <c r="Y57" s="1"/>
      <c r="Z57" s="5">
        <f t="shared" ref="Z57:Z59" si="47">IF(T57=0,0,X57/T57)</f>
        <v>-1.0055089141495441</v>
      </c>
    </row>
    <row r="58" spans="1:26" s="24" customFormat="1" hidden="1" outlineLevel="2" x14ac:dyDescent="0.25">
      <c r="A58" s="29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/>
      <c r="Q58" s="2"/>
      <c r="R58" s="7">
        <f t="shared" si="44"/>
        <v>0</v>
      </c>
      <c r="S58" s="2"/>
      <c r="T58" s="6">
        <v>127.89</v>
      </c>
      <c r="U58" s="2"/>
      <c r="V58" s="7">
        <f t="shared" si="45"/>
        <v>0</v>
      </c>
      <c r="W58" s="2"/>
      <c r="X58" s="6">
        <f t="shared" si="46"/>
        <v>-127.89</v>
      </c>
      <c r="Y58" s="2"/>
      <c r="Z58" s="7">
        <f t="shared" si="47"/>
        <v>-1</v>
      </c>
    </row>
    <row r="59" spans="1:26" s="24" customFormat="1" hidden="1" outlineLevel="2" x14ac:dyDescent="0.25">
      <c r="A59" s="29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160.16</v>
      </c>
      <c r="Q59" s="2"/>
      <c r="R59" s="7">
        <f t="shared" si="44"/>
        <v>0</v>
      </c>
      <c r="S59" s="2"/>
      <c r="T59" s="6">
        <v>-29200.77</v>
      </c>
      <c r="U59" s="2"/>
      <c r="V59" s="7">
        <f t="shared" si="45"/>
        <v>0</v>
      </c>
      <c r="W59" s="2"/>
      <c r="X59" s="6">
        <f t="shared" si="46"/>
        <v>29360.93</v>
      </c>
      <c r="Y59" s="2"/>
      <c r="Z59" s="7">
        <f t="shared" si="47"/>
        <v>-1.0054847868737709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363.36</v>
      </c>
      <c r="E60" s="1"/>
      <c r="F60" s="5">
        <f t="shared" ref="F60:F65" si="48">IF(D$12=0,0,D60/D$12)</f>
        <v>0</v>
      </c>
      <c r="G60" s="1"/>
      <c r="H60" s="1">
        <f>SUM(OSRRefH22_12x_0)</f>
        <v>221.03</v>
      </c>
      <c r="I60" s="1"/>
      <c r="J60" s="5">
        <f t="shared" ref="J60:J65" si="49">IF(H$12=0,0,H60/H$12)</f>
        <v>0</v>
      </c>
      <c r="K60" s="1"/>
      <c r="L60" s="1">
        <f t="shared" ref="L60:L65" si="50">+D60-H60</f>
        <v>142.33000000000001</v>
      </c>
      <c r="M60" s="1"/>
      <c r="N60" s="5">
        <f t="shared" ref="N60:N65" si="51">IF(H60=0,0,L60/H60)</f>
        <v>0.64393973668732751</v>
      </c>
      <c r="O60" s="14"/>
      <c r="P60" s="1">
        <f>SUM(OSRRefP22_12x_0)</f>
        <v>940.31</v>
      </c>
      <c r="Q60" s="1"/>
      <c r="R60" s="5">
        <f t="shared" ref="R60:R65" si="52">IF(P$12=0,0,P60/P$12)</f>
        <v>0</v>
      </c>
      <c r="S60" s="1"/>
      <c r="T60" s="1">
        <f>SUM(OSRRefT22_12x_0)</f>
        <v>1100.33</v>
      </c>
      <c r="U60" s="1"/>
      <c r="V60" s="5">
        <f t="shared" ref="V60:V65" si="53">IF(T$12=0,0,T60/T$12)</f>
        <v>0</v>
      </c>
      <c r="W60" s="1"/>
      <c r="X60" s="1">
        <f t="shared" ref="X60:X65" si="54">+P60-T60</f>
        <v>-160.01999999999998</v>
      </c>
      <c r="Y60" s="1"/>
      <c r="Z60" s="5">
        <f t="shared" ref="Z60:Z65" si="55">IF(T60=0,0,X60/T60)</f>
        <v>-0.14542909854316433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6">
        <v>363.36</v>
      </c>
      <c r="E61" s="2"/>
      <c r="F61" s="7">
        <f t="shared" si="48"/>
        <v>0</v>
      </c>
      <c r="G61" s="2"/>
      <c r="H61" s="6">
        <v>221.03</v>
      </c>
      <c r="I61" s="2"/>
      <c r="J61" s="7">
        <f t="shared" si="49"/>
        <v>0</v>
      </c>
      <c r="K61" s="2"/>
      <c r="L61" s="6">
        <f t="shared" si="50"/>
        <v>142.33000000000001</v>
      </c>
      <c r="M61" s="2"/>
      <c r="N61" s="7">
        <f t="shared" si="51"/>
        <v>0.64393973668732751</v>
      </c>
      <c r="O61" s="11"/>
      <c r="P61" s="6">
        <v>940.31</v>
      </c>
      <c r="Q61" s="2"/>
      <c r="R61" s="7">
        <f t="shared" si="52"/>
        <v>0</v>
      </c>
      <c r="S61" s="2"/>
      <c r="T61" s="6">
        <v>1100.33</v>
      </c>
      <c r="U61" s="2"/>
      <c r="V61" s="7">
        <f t="shared" si="53"/>
        <v>0</v>
      </c>
      <c r="W61" s="2"/>
      <c r="X61" s="6">
        <f t="shared" si="54"/>
        <v>-160.01999999999998</v>
      </c>
      <c r="Y61" s="2"/>
      <c r="Z61" s="7">
        <f t="shared" si="55"/>
        <v>-0.14542909854316433</v>
      </c>
    </row>
    <row r="62" spans="1:26" s="28" customFormat="1" outlineLevel="1" collapsed="1" x14ac:dyDescent="0.25">
      <c r="A62" s="27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SUM(OSRRefD22_13x_0)</f>
        <v>0</v>
      </c>
      <c r="E62" s="1"/>
      <c r="F62" s="5">
        <f t="shared" si="48"/>
        <v>0</v>
      </c>
      <c r="G62" s="1"/>
      <c r="H62" s="1">
        <f>SUM(OSRRefH22_13x_0)</f>
        <v>0</v>
      </c>
      <c r="I62" s="1"/>
      <c r="J62" s="5">
        <f t="shared" si="49"/>
        <v>0</v>
      </c>
      <c r="K62" s="1"/>
      <c r="L62" s="1">
        <f t="shared" si="50"/>
        <v>0</v>
      </c>
      <c r="M62" s="1"/>
      <c r="N62" s="5">
        <f t="shared" si="51"/>
        <v>0</v>
      </c>
      <c r="O62" s="14"/>
      <c r="P62" s="1">
        <f>SUM(OSRRefP22_13x_0)</f>
        <v>0</v>
      </c>
      <c r="Q62" s="1"/>
      <c r="R62" s="5">
        <f t="shared" si="52"/>
        <v>0</v>
      </c>
      <c r="S62" s="1"/>
      <c r="T62" s="1">
        <f>SUM(OSRRefT22_13x_0)</f>
        <v>332.21</v>
      </c>
      <c r="U62" s="1"/>
      <c r="V62" s="5">
        <f t="shared" si="53"/>
        <v>0</v>
      </c>
      <c r="W62" s="1"/>
      <c r="X62" s="1">
        <f t="shared" si="54"/>
        <v>-332.21</v>
      </c>
      <c r="Y62" s="1"/>
      <c r="Z62" s="5">
        <f t="shared" si="55"/>
        <v>-1</v>
      </c>
    </row>
    <row r="63" spans="1:26" s="24" customFormat="1" hidden="1" outlineLevel="2" x14ac:dyDescent="0.25">
      <c r="A63" s="29"/>
      <c r="B63" s="11" t="str">
        <f>CONCATENATE("          ", "6298", " - ", "VEHICLE MILEAGE")</f>
        <v xml:space="preserve">          6298 - VEHICLE MILEAGE</v>
      </c>
      <c r="C63" s="11"/>
      <c r="D63" s="6"/>
      <c r="E63" s="2"/>
      <c r="F63" s="7">
        <f t="shared" si="48"/>
        <v>0</v>
      </c>
      <c r="G63" s="2"/>
      <c r="H63" s="6"/>
      <c r="I63" s="2"/>
      <c r="J63" s="7">
        <f t="shared" si="49"/>
        <v>0</v>
      </c>
      <c r="K63" s="2"/>
      <c r="L63" s="6">
        <f t="shared" si="50"/>
        <v>0</v>
      </c>
      <c r="M63" s="2"/>
      <c r="N63" s="7">
        <f t="shared" si="51"/>
        <v>0</v>
      </c>
      <c r="O63" s="11"/>
      <c r="P63" s="6"/>
      <c r="Q63" s="2"/>
      <c r="R63" s="7">
        <f t="shared" si="52"/>
        <v>0</v>
      </c>
      <c r="S63" s="2"/>
      <c r="T63" s="6">
        <v>332.21</v>
      </c>
      <c r="U63" s="2"/>
      <c r="V63" s="7">
        <f t="shared" si="53"/>
        <v>0</v>
      </c>
      <c r="W63" s="2"/>
      <c r="X63" s="6">
        <f t="shared" si="54"/>
        <v>-332.21</v>
      </c>
      <c r="Y63" s="2"/>
      <c r="Z63" s="7">
        <f t="shared" si="55"/>
        <v>-1</v>
      </c>
    </row>
    <row r="64" spans="1:26" s="28" customFormat="1" outlineLevel="1" collapsed="1" x14ac:dyDescent="0.25">
      <c r="A64" s="27"/>
      <c r="B64" s="14" t="str">
        <f>CONCATENATE("     ","Utilities                                         ")</f>
        <v xml:space="preserve">     Utilities                                         </v>
      </c>
      <c r="C64" s="14"/>
      <c r="D64" s="1">
        <f>SUM(OSRRefD22_14x_0)</f>
        <v>5550</v>
      </c>
      <c r="E64" s="1"/>
      <c r="F64" s="5">
        <f t="shared" si="48"/>
        <v>0</v>
      </c>
      <c r="G64" s="1"/>
      <c r="H64" s="1">
        <f>SUM(OSRRefH22_14x_0)</f>
        <v>-15876</v>
      </c>
      <c r="I64" s="1"/>
      <c r="J64" s="5">
        <f t="shared" si="49"/>
        <v>0</v>
      </c>
      <c r="K64" s="1"/>
      <c r="L64" s="1">
        <f t="shared" si="50"/>
        <v>21426</v>
      </c>
      <c r="M64" s="1"/>
      <c r="N64" s="5">
        <f t="shared" si="51"/>
        <v>-1.3495842781557068</v>
      </c>
      <c r="O64" s="14"/>
      <c r="P64" s="1">
        <f>SUM(OSRRefP22_14x_0)</f>
        <v>22200</v>
      </c>
      <c r="Q64" s="1"/>
      <c r="R64" s="5">
        <f t="shared" si="52"/>
        <v>0</v>
      </c>
      <c r="S64" s="1"/>
      <c r="T64" s="1">
        <f>SUM(OSRRefT22_14x_0)</f>
        <v>-15876</v>
      </c>
      <c r="U64" s="1"/>
      <c r="V64" s="5">
        <f t="shared" si="53"/>
        <v>0</v>
      </c>
      <c r="W64" s="1"/>
      <c r="X64" s="1">
        <f t="shared" si="54"/>
        <v>38076</v>
      </c>
      <c r="Y64" s="1"/>
      <c r="Z64" s="5">
        <f t="shared" si="55"/>
        <v>-2.3983371126228268</v>
      </c>
    </row>
    <row r="65" spans="1:26" s="24" customFormat="1" hidden="1" outlineLevel="2" x14ac:dyDescent="0.25">
      <c r="A65" s="29"/>
      <c r="B65" s="11" t="str">
        <f>CONCATENATE("          ", "6274", " - ", "UTILITIES")</f>
        <v xml:space="preserve">          6274 - UTILITIES</v>
      </c>
      <c r="C65" s="11"/>
      <c r="D65" s="6">
        <v>5550</v>
      </c>
      <c r="E65" s="2"/>
      <c r="F65" s="7">
        <f t="shared" si="48"/>
        <v>0</v>
      </c>
      <c r="G65" s="2"/>
      <c r="H65" s="6">
        <v>-15876</v>
      </c>
      <c r="I65" s="2"/>
      <c r="J65" s="7">
        <f t="shared" si="49"/>
        <v>0</v>
      </c>
      <c r="K65" s="2"/>
      <c r="L65" s="6">
        <f t="shared" si="50"/>
        <v>21426</v>
      </c>
      <c r="M65" s="2"/>
      <c r="N65" s="7">
        <f t="shared" si="51"/>
        <v>-1.3495842781557068</v>
      </c>
      <c r="O65" s="11"/>
      <c r="P65" s="6">
        <v>22200</v>
      </c>
      <c r="Q65" s="2"/>
      <c r="R65" s="7">
        <f t="shared" si="52"/>
        <v>0</v>
      </c>
      <c r="S65" s="2"/>
      <c r="T65" s="6">
        <v>-15876</v>
      </c>
      <c r="U65" s="2"/>
      <c r="V65" s="7">
        <f t="shared" si="53"/>
        <v>0</v>
      </c>
      <c r="W65" s="2"/>
      <c r="X65" s="6">
        <f t="shared" si="54"/>
        <v>38076</v>
      </c>
      <c r="Y65" s="2"/>
      <c r="Z65" s="7">
        <f t="shared" si="55"/>
        <v>-2.3983371126228268</v>
      </c>
    </row>
    <row r="66" spans="1:26" s="56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5" t="s">
        <v>292</v>
      </c>
      <c r="C67" s="10"/>
      <c r="D67" s="4">
        <f>SUM(OSRRefD25x_0)</f>
        <v>534.58000000000004</v>
      </c>
      <c r="E67" s="4"/>
      <c r="F67" s="12">
        <f t="shared" ref="F67:F69" si="56">IF(D$12=0,0,D67/D$12)</f>
        <v>0</v>
      </c>
      <c r="G67" s="4"/>
      <c r="H67" s="4">
        <f>SUM(OSRRefH25x_0)</f>
        <v>119.09</v>
      </c>
      <c r="I67" s="4"/>
      <c r="J67" s="12">
        <f t="shared" ref="J67:J69" si="57">IF(H$12=0,0,H67/H$12)</f>
        <v>0</v>
      </c>
      <c r="K67" s="4"/>
      <c r="L67" s="4">
        <f t="shared" ref="L67:L69" si="58">+D67-H67</f>
        <v>415.49</v>
      </c>
      <c r="M67" s="4"/>
      <c r="N67" s="12">
        <f t="shared" ref="N67:N69" si="59">IF(H67=0,0,L67/H67)</f>
        <v>3.4888739608699302</v>
      </c>
      <c r="O67" s="10"/>
      <c r="P67" s="4">
        <f>SUM(OSRRefP25x_0)</f>
        <v>3545.95</v>
      </c>
      <c r="Q67" s="4"/>
      <c r="R67" s="12">
        <f t="shared" ref="R67:R69" si="60">IF(P$12=0,0,P67/P$12)</f>
        <v>0</v>
      </c>
      <c r="S67" s="4"/>
      <c r="T67" s="4">
        <f>SUM(OSRRefT25x_0)</f>
        <v>1438.78</v>
      </c>
      <c r="U67" s="4"/>
      <c r="V67" s="12">
        <f t="shared" ref="V67:V69" si="61">IF(T$12=0,0,T67/T$12)</f>
        <v>0</v>
      </c>
      <c r="W67" s="4"/>
      <c r="X67" s="4">
        <f t="shared" ref="X67:X69" si="62">+P67-T67</f>
        <v>2107.17</v>
      </c>
      <c r="Y67" s="4"/>
      <c r="Z67" s="12">
        <f t="shared" ref="Z67:Z69" si="63">IF(T67=0,0,X67/T67)</f>
        <v>1.4645533021031709</v>
      </c>
    </row>
    <row r="68" spans="1:26" s="24" customFormat="1" hidden="1" outlineLevel="1" x14ac:dyDescent="0.25">
      <c r="A68" s="44"/>
      <c r="B68" s="11" t="str">
        <f>CONCATENATE("          ", "9150", " - ", "MISC. INCOME")</f>
        <v xml:space="preserve">          9150 - MISC. INCOME</v>
      </c>
      <c r="C68" s="11"/>
      <c r="D68" s="2">
        <f>--534.58</f>
        <v>534.58000000000004</v>
      </c>
      <c r="E68" s="2"/>
      <c r="F68" s="19">
        <f t="shared" si="56"/>
        <v>0</v>
      </c>
      <c r="G68" s="2"/>
      <c r="H68" s="2">
        <f>--119.09</f>
        <v>119.09</v>
      </c>
      <c r="I68" s="2"/>
      <c r="J68" s="19">
        <f t="shared" si="57"/>
        <v>0</v>
      </c>
      <c r="K68" s="2"/>
      <c r="L68" s="2">
        <f t="shared" si="58"/>
        <v>415.49</v>
      </c>
      <c r="M68" s="2"/>
      <c r="N68" s="19">
        <f t="shared" si="59"/>
        <v>3.4888739608699302</v>
      </c>
      <c r="O68" s="11"/>
      <c r="P68" s="2">
        <f>--3545.95</f>
        <v>3545.95</v>
      </c>
      <c r="Q68" s="2"/>
      <c r="R68" s="19">
        <f t="shared" si="60"/>
        <v>0</v>
      </c>
      <c r="S68" s="2"/>
      <c r="T68" s="2">
        <f>--812.35</f>
        <v>812.35</v>
      </c>
      <c r="U68" s="2"/>
      <c r="V68" s="19">
        <f t="shared" si="61"/>
        <v>0</v>
      </c>
      <c r="W68" s="2"/>
      <c r="X68" s="2">
        <f t="shared" si="62"/>
        <v>2733.6</v>
      </c>
      <c r="Y68" s="2"/>
      <c r="Z68" s="19">
        <f t="shared" si="63"/>
        <v>3.3650520096017726</v>
      </c>
    </row>
    <row r="69" spans="1:26" s="24" customFormat="1" hidden="1" outlineLevel="1" x14ac:dyDescent="0.25">
      <c r="A69" s="44"/>
      <c r="B69" s="11" t="str">
        <f>CONCATENATE("          ", "9160", " - ", "MISC. INCOME")</f>
        <v xml:space="preserve">          9160 - MISC. INCOME</v>
      </c>
      <c r="C69" s="11"/>
      <c r="D69" s="2">
        <f>0</f>
        <v>0</v>
      </c>
      <c r="E69" s="2"/>
      <c r="F69" s="19">
        <f t="shared" si="56"/>
        <v>0</v>
      </c>
      <c r="G69" s="2"/>
      <c r="H69" s="2">
        <f>0</f>
        <v>0</v>
      </c>
      <c r="I69" s="2"/>
      <c r="J69" s="19">
        <f t="shared" si="57"/>
        <v>0</v>
      </c>
      <c r="K69" s="2"/>
      <c r="L69" s="2">
        <f t="shared" si="58"/>
        <v>0</v>
      </c>
      <c r="M69" s="2"/>
      <c r="N69" s="19">
        <f t="shared" si="59"/>
        <v>0</v>
      </c>
      <c r="O69" s="11"/>
      <c r="P69" s="2">
        <f>0</f>
        <v>0</v>
      </c>
      <c r="Q69" s="2"/>
      <c r="R69" s="19">
        <f t="shared" si="60"/>
        <v>0</v>
      </c>
      <c r="S69" s="2"/>
      <c r="T69" s="2">
        <f>--626.43</f>
        <v>626.42999999999995</v>
      </c>
      <c r="U69" s="2"/>
      <c r="V69" s="19">
        <f t="shared" si="61"/>
        <v>0</v>
      </c>
      <c r="W69" s="2"/>
      <c r="X69" s="2">
        <f t="shared" si="62"/>
        <v>-626.42999999999995</v>
      </c>
      <c r="Y69" s="2"/>
      <c r="Z69" s="19">
        <f t="shared" si="63"/>
        <v>-1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276</v>
      </c>
      <c r="C71" s="26"/>
      <c r="D71" s="22">
        <f>+D16-D18+D67</f>
        <v>-55904.249999999993</v>
      </c>
      <c r="E71" s="13"/>
      <c r="F71" s="20">
        <f>IF(D$12=0,0,D71/D$12)</f>
        <v>0</v>
      </c>
      <c r="G71" s="13"/>
      <c r="H71" s="22">
        <f>+H16-H18+H67</f>
        <v>-25260.479999999992</v>
      </c>
      <c r="I71" s="13"/>
      <c r="J71" s="20">
        <f>IF(H$12=0,0,H71/H$12)</f>
        <v>0</v>
      </c>
      <c r="K71" s="15"/>
      <c r="L71" s="22">
        <f>+D71-H71</f>
        <v>-30643.77</v>
      </c>
      <c r="M71" s="15"/>
      <c r="N71" s="20">
        <f>IF(H71=0,0,L71/H71)</f>
        <v>1.2131111522821423</v>
      </c>
      <c r="O71" s="25"/>
      <c r="P71" s="22">
        <f>+P16-P18+P67</f>
        <v>-202648.16</v>
      </c>
      <c r="Q71" s="13"/>
      <c r="R71" s="20">
        <f>IF(P$12=0,0,P71/P$12)</f>
        <v>0</v>
      </c>
      <c r="S71" s="13"/>
      <c r="T71" s="22">
        <f>+T16-T18+T67</f>
        <v>-82692.940000000031</v>
      </c>
      <c r="U71" s="13"/>
      <c r="V71" s="20">
        <f>IF(T$12=0,0,T71/T$12)</f>
        <v>0</v>
      </c>
      <c r="W71" s="15"/>
      <c r="X71" s="22">
        <f>+P71-T71</f>
        <v>-119955.21999999997</v>
      </c>
      <c r="Y71" s="15"/>
      <c r="Z71" s="20">
        <f>IF(T71=0,0,X71/T71)</f>
        <v>1.4506101730087226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127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125</v>
      </c>
      <c r="C75" s="26"/>
      <c r="D75" s="33">
        <f>+D71-D73</f>
        <v>-55904.249999999993</v>
      </c>
      <c r="E75" s="13"/>
      <c r="F75" s="31">
        <f>IF(D$12=0,0,D75/D$12)</f>
        <v>0</v>
      </c>
      <c r="G75" s="13"/>
      <c r="H75" s="33">
        <f>+H71-H73</f>
        <v>-25260.479999999992</v>
      </c>
      <c r="I75" s="13"/>
      <c r="J75" s="31">
        <f>IF(H$12=0,0,H75/H$12)</f>
        <v>0</v>
      </c>
      <c r="K75" s="15"/>
      <c r="L75" s="33">
        <f>D75-H75</f>
        <v>-30643.77</v>
      </c>
      <c r="M75" s="15"/>
      <c r="N75" s="31">
        <f>IF(H75=0,0,L75/H75)</f>
        <v>1.2131111522821423</v>
      </c>
      <c r="O75" s="25"/>
      <c r="P75" s="33">
        <f>+P71-P73</f>
        <v>-202648.16</v>
      </c>
      <c r="Q75" s="13"/>
      <c r="R75" s="31">
        <f>IF(P$12=0,0,P75/P$12)</f>
        <v>0</v>
      </c>
      <c r="S75" s="13"/>
      <c r="T75" s="33">
        <f>+T71-T73</f>
        <v>-82692.940000000031</v>
      </c>
      <c r="U75" s="13"/>
      <c r="V75" s="31">
        <f>IF(T$12=0,0,T75/T$12)</f>
        <v>0</v>
      </c>
      <c r="W75" s="15"/>
      <c r="X75" s="33">
        <f>P75-T75</f>
        <v>-119955.21999999997</v>
      </c>
      <c r="Y75" s="15"/>
      <c r="Z75" s="31">
        <f>IF(T75=0,0,X75/T75)</f>
        <v>1.4506101730087226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293</v>
      </c>
      <c r="C78" s="26"/>
      <c r="D78" s="34">
        <f>SUM(D75:D77)</f>
        <v>-55904.249999999993</v>
      </c>
      <c r="E78" s="13"/>
      <c r="F78" s="30">
        <f>IF(D$12=0,0,D78/D$12)</f>
        <v>0</v>
      </c>
      <c r="G78" s="13"/>
      <c r="H78" s="34">
        <f>SUM(H75:H77)</f>
        <v>-25260.479999999992</v>
      </c>
      <c r="I78" s="13"/>
      <c r="J78" s="30">
        <f>IF(H$12=0,0,H78/H$12)</f>
        <v>0</v>
      </c>
      <c r="K78" s="15"/>
      <c r="L78" s="34">
        <f>+D78-H78</f>
        <v>-30643.77</v>
      </c>
      <c r="M78" s="15"/>
      <c r="N78" s="30">
        <f>IF(H78=0,0,L78/H78)</f>
        <v>1.2131111522821423</v>
      </c>
      <c r="O78" s="25"/>
      <c r="P78" s="34">
        <f>SUM(P75:P77)</f>
        <v>-202648.16</v>
      </c>
      <c r="Q78" s="13"/>
      <c r="R78" s="30">
        <f>IF(P$12=0,0,P78/P$12)</f>
        <v>0</v>
      </c>
      <c r="S78" s="13"/>
      <c r="T78" s="34">
        <f>SUM(T75:T77)</f>
        <v>-82692.940000000031</v>
      </c>
      <c r="U78" s="13"/>
      <c r="V78" s="30">
        <f>IF(T$12=0,0,T78/T$12)</f>
        <v>0</v>
      </c>
      <c r="W78" s="15"/>
      <c r="X78" s="34">
        <f>+P78-T78</f>
        <v>-119955.21999999997</v>
      </c>
      <c r="Y78" s="15"/>
      <c r="Z78" s="30">
        <f>IF(T78=0,0,X78/T78)</f>
        <v>1.4506101730087226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1">
        <v>44517.967041516204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7" t="s">
        <v>56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604.96</v>
      </c>
      <c r="E18" s="21"/>
      <c r="F18" s="36">
        <f t="shared" ref="F18:F28" si="0">IF(D$12=0,0,D18/D$12)</f>
        <v>0</v>
      </c>
      <c r="G18" s="21"/>
      <c r="H18" s="21">
        <f>SUM(OSRRefH22x_0)</f>
        <v>627.29</v>
      </c>
      <c r="I18" s="21"/>
      <c r="J18" s="36">
        <f t="shared" ref="J18:J28" si="1">IF(H$12=0,0,H18/H$12)</f>
        <v>0</v>
      </c>
      <c r="K18" s="4"/>
      <c r="L18" s="21">
        <f t="shared" ref="L18:L28" si="2">+D18-H18</f>
        <v>-22.329999999999927</v>
      </c>
      <c r="M18" s="4"/>
      <c r="N18" s="36">
        <f t="shared" ref="N18:N28" si="3">IF(H18=0,0,L18/H18)</f>
        <v>-3.5597570501681726E-2</v>
      </c>
      <c r="O18" s="10"/>
      <c r="P18" s="21">
        <f>SUM(OSRRefP22x_0)</f>
        <v>2505.4699999999998</v>
      </c>
      <c r="Q18" s="21"/>
      <c r="R18" s="36">
        <f t="shared" ref="R18:R28" si="4">IF(P$12=0,0,P18/P$12)</f>
        <v>0</v>
      </c>
      <c r="S18" s="21"/>
      <c r="T18" s="21">
        <f>SUM(OSRRefT22x_0)</f>
        <v>3424.08</v>
      </c>
      <c r="U18" s="21"/>
      <c r="V18" s="36">
        <f t="shared" ref="V18:V28" si="5">IF(T$12=0,0,T18/T$12)</f>
        <v>0</v>
      </c>
      <c r="W18" s="4"/>
      <c r="X18" s="21">
        <f t="shared" ref="X18:X28" si="6">+P18-T18</f>
        <v>-918.61000000000013</v>
      </c>
      <c r="Y18" s="4"/>
      <c r="Z18" s="36">
        <f t="shared" ref="Z18:Z28" si="7">IF(T18=0,0,X18/T18)</f>
        <v>-0.26827936263171426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577.36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2309.44</v>
      </c>
      <c r="Q19" s="1"/>
      <c r="R19" s="5">
        <f t="shared" si="4"/>
        <v>0</v>
      </c>
      <c r="S19" s="1"/>
      <c r="T19" s="1">
        <f>SUM(OSRRefT22_0x_0)</f>
        <v>2648.43</v>
      </c>
      <c r="U19" s="1"/>
      <c r="V19" s="5">
        <f t="shared" si="5"/>
        <v>0</v>
      </c>
      <c r="W19" s="1"/>
      <c r="X19" s="1">
        <f t="shared" si="6"/>
        <v>-338.98999999999978</v>
      </c>
      <c r="Y19" s="1"/>
      <c r="Z19" s="5">
        <f t="shared" si="7"/>
        <v>-0.12799658665700048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577.36</v>
      </c>
      <c r="E20" s="2"/>
      <c r="F20" s="7">
        <f t="shared" si="0"/>
        <v>0</v>
      </c>
      <c r="G20" s="2"/>
      <c r="H20" s="6">
        <v>577.36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2309.44</v>
      </c>
      <c r="Q20" s="2"/>
      <c r="R20" s="7">
        <f t="shared" si="4"/>
        <v>0</v>
      </c>
      <c r="S20" s="2"/>
      <c r="T20" s="6">
        <v>2648.43</v>
      </c>
      <c r="U20" s="2"/>
      <c r="V20" s="7">
        <f t="shared" si="5"/>
        <v>0</v>
      </c>
      <c r="W20" s="2"/>
      <c r="X20" s="6">
        <f t="shared" si="6"/>
        <v>-338.98999999999978</v>
      </c>
      <c r="Y20" s="2"/>
      <c r="Z20" s="7">
        <f t="shared" si="7"/>
        <v>-0.12799658665700048</v>
      </c>
    </row>
    <row r="21" spans="1:26" s="28" customFormat="1" outlineLevel="1" collapsed="1" x14ac:dyDescent="0.25">
      <c r="A21" s="27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25">
      <c r="A22" s="29"/>
      <c r="B22" s="11" t="str">
        <f>CONCATENATE("          ", "6351", " - ", "EQUIPMENT RENTAL")</f>
        <v xml:space="preserve">          6351 - EQUIPMENT RENTAL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16.239999999999998</v>
      </c>
      <c r="U22" s="2"/>
      <c r="V22" s="7">
        <f t="shared" si="5"/>
        <v>0</v>
      </c>
      <c r="W22" s="2"/>
      <c r="X22" s="6">
        <f t="shared" si="6"/>
        <v>-16.239999999999998</v>
      </c>
      <c r="Y22" s="2"/>
      <c r="Z22" s="7">
        <f t="shared" si="7"/>
        <v>-1</v>
      </c>
    </row>
    <row r="23" spans="1:26" s="28" customFormat="1" outlineLevel="1" collapsed="1" x14ac:dyDescent="0.25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60.43</v>
      </c>
      <c r="Q23" s="1"/>
      <c r="R23" s="5">
        <f t="shared" si="4"/>
        <v>0</v>
      </c>
      <c r="S23" s="1"/>
      <c r="T23" s="1">
        <f>SUM(OSRRefT22_2x_0)</f>
        <v>217.8</v>
      </c>
      <c r="U23" s="1"/>
      <c r="V23" s="5">
        <f t="shared" si="5"/>
        <v>0</v>
      </c>
      <c r="W23" s="1"/>
      <c r="X23" s="1">
        <f t="shared" si="6"/>
        <v>-157.37</v>
      </c>
      <c r="Y23" s="1"/>
      <c r="Z23" s="5">
        <f t="shared" si="7"/>
        <v>-0.72254361799816347</v>
      </c>
    </row>
    <row r="24" spans="1:26" s="24" customFormat="1" hidden="1" outlineLevel="2" x14ac:dyDescent="0.25">
      <c r="A24" s="29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60.43</v>
      </c>
      <c r="Q24" s="2"/>
      <c r="R24" s="7">
        <f t="shared" si="4"/>
        <v>0</v>
      </c>
      <c r="S24" s="2"/>
      <c r="T24" s="6">
        <v>217.8</v>
      </c>
      <c r="U24" s="2"/>
      <c r="V24" s="7">
        <f t="shared" si="5"/>
        <v>0</v>
      </c>
      <c r="W24" s="2"/>
      <c r="X24" s="6">
        <f t="shared" si="6"/>
        <v>-157.37</v>
      </c>
      <c r="Y24" s="2"/>
      <c r="Z24" s="7">
        <f t="shared" si="7"/>
        <v>-0.72254361799816347</v>
      </c>
    </row>
    <row r="25" spans="1:26" s="28" customFormat="1" outlineLevel="1" collapsed="1" x14ac:dyDescent="0.25">
      <c r="A25" s="27"/>
      <c r="B25" s="14" t="str">
        <f>CONCATENATE("     ","Services                                          ")</f>
        <v xml:space="preserve">     Services 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320.58</v>
      </c>
      <c r="U25" s="1"/>
      <c r="V25" s="5">
        <f t="shared" si="5"/>
        <v>0</v>
      </c>
      <c r="W25" s="1"/>
      <c r="X25" s="1">
        <f t="shared" si="6"/>
        <v>-320.58</v>
      </c>
      <c r="Y25" s="1"/>
      <c r="Z25" s="5">
        <f t="shared" si="7"/>
        <v>-1</v>
      </c>
    </row>
    <row r="26" spans="1:26" s="24" customFormat="1" hidden="1" outlineLevel="2" x14ac:dyDescent="0.25">
      <c r="A26" s="29"/>
      <c r="B26" s="11" t="str">
        <f>CONCATENATE("          ", "6286", " - ", "LAUNDRY EXPENSE")</f>
        <v xml:space="preserve">          6286 - LAUNDRY EXPENSE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320.58</v>
      </c>
      <c r="U26" s="2"/>
      <c r="V26" s="7">
        <f t="shared" si="5"/>
        <v>0</v>
      </c>
      <c r="W26" s="2"/>
      <c r="X26" s="6">
        <f t="shared" si="6"/>
        <v>-320.58</v>
      </c>
      <c r="Y26" s="2"/>
      <c r="Z26" s="7">
        <f t="shared" si="7"/>
        <v>-1</v>
      </c>
    </row>
    <row r="27" spans="1:26" s="28" customFormat="1" outlineLevel="1" collapsed="1" x14ac:dyDescent="0.2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27.6</v>
      </c>
      <c r="E27" s="1"/>
      <c r="F27" s="5">
        <f t="shared" si="0"/>
        <v>0</v>
      </c>
      <c r="G27" s="1"/>
      <c r="H27" s="1">
        <f>SUM(OSRRefH22_4x_0)</f>
        <v>49.93</v>
      </c>
      <c r="I27" s="1"/>
      <c r="J27" s="5">
        <f t="shared" si="1"/>
        <v>0</v>
      </c>
      <c r="K27" s="1"/>
      <c r="L27" s="1">
        <f t="shared" si="2"/>
        <v>-22.33</v>
      </c>
      <c r="M27" s="1"/>
      <c r="N27" s="5">
        <f t="shared" si="3"/>
        <v>-0.44722611656318845</v>
      </c>
      <c r="O27" s="14"/>
      <c r="P27" s="1">
        <f>SUM(OSRRefP22_4x_0)</f>
        <v>135.6</v>
      </c>
      <c r="Q27" s="1"/>
      <c r="R27" s="5">
        <f t="shared" si="4"/>
        <v>0</v>
      </c>
      <c r="S27" s="1"/>
      <c r="T27" s="1">
        <f>SUM(OSRRefT22_4x_0)</f>
        <v>221.03</v>
      </c>
      <c r="U27" s="1"/>
      <c r="V27" s="5">
        <f t="shared" si="5"/>
        <v>0</v>
      </c>
      <c r="W27" s="1"/>
      <c r="X27" s="1">
        <f t="shared" si="6"/>
        <v>-85.43</v>
      </c>
      <c r="Y27" s="1"/>
      <c r="Z27" s="5">
        <f t="shared" si="7"/>
        <v>-0.38650861873953762</v>
      </c>
    </row>
    <row r="28" spans="1:26" s="24" customFormat="1" hidden="1" outlineLevel="2" x14ac:dyDescent="0.25">
      <c r="A28" s="29"/>
      <c r="B28" s="11" t="str">
        <f>CONCATENATE("          ", "6309", " - ", "TELEPHONE")</f>
        <v xml:space="preserve">          6309 - TELEPHONE</v>
      </c>
      <c r="C28" s="11"/>
      <c r="D28" s="6">
        <v>27.6</v>
      </c>
      <c r="E28" s="2"/>
      <c r="F28" s="7">
        <f t="shared" si="0"/>
        <v>0</v>
      </c>
      <c r="G28" s="2"/>
      <c r="H28" s="6">
        <v>49.93</v>
      </c>
      <c r="I28" s="2"/>
      <c r="J28" s="7">
        <f t="shared" si="1"/>
        <v>0</v>
      </c>
      <c r="K28" s="2"/>
      <c r="L28" s="6">
        <f t="shared" si="2"/>
        <v>-22.33</v>
      </c>
      <c r="M28" s="2"/>
      <c r="N28" s="7">
        <f t="shared" si="3"/>
        <v>-0.44722611656318845</v>
      </c>
      <c r="O28" s="11"/>
      <c r="P28" s="6">
        <v>135.6</v>
      </c>
      <c r="Q28" s="2"/>
      <c r="R28" s="7">
        <f t="shared" si="4"/>
        <v>0</v>
      </c>
      <c r="S28" s="2"/>
      <c r="T28" s="6">
        <v>221.03</v>
      </c>
      <c r="U28" s="2"/>
      <c r="V28" s="7">
        <f t="shared" si="5"/>
        <v>0</v>
      </c>
      <c r="W28" s="2"/>
      <c r="X28" s="6">
        <f t="shared" si="6"/>
        <v>-85.43</v>
      </c>
      <c r="Y28" s="2"/>
      <c r="Z28" s="7">
        <f t="shared" si="7"/>
        <v>-0.38650861873953762</v>
      </c>
    </row>
    <row r="29" spans="1:26" s="56" customFormat="1" x14ac:dyDescent="0.25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276</v>
      </c>
      <c r="C32" s="26"/>
      <c r="D32" s="22">
        <f>+D16-D18+D30</f>
        <v>-604.96</v>
      </c>
      <c r="E32" s="13"/>
      <c r="F32" s="20">
        <f>IF(D$12=0,0,D32/D$12)</f>
        <v>0</v>
      </c>
      <c r="G32" s="13"/>
      <c r="H32" s="22">
        <f>+H16-H18+H30</f>
        <v>-627.29</v>
      </c>
      <c r="I32" s="13"/>
      <c r="J32" s="20">
        <f>IF(H$12=0,0,H32/H$12)</f>
        <v>0</v>
      </c>
      <c r="K32" s="15"/>
      <c r="L32" s="22">
        <f>+D32-H32</f>
        <v>22.329999999999927</v>
      </c>
      <c r="M32" s="15"/>
      <c r="N32" s="20">
        <f>IF(H32=0,0,L32/H32)</f>
        <v>-3.5597570501681726E-2</v>
      </c>
      <c r="O32" s="25"/>
      <c r="P32" s="22">
        <f>+P16-P18+P30</f>
        <v>-2505.4699999999998</v>
      </c>
      <c r="Q32" s="13"/>
      <c r="R32" s="20">
        <f>IF(P$12=0,0,P32/P$12)</f>
        <v>0</v>
      </c>
      <c r="S32" s="13"/>
      <c r="T32" s="22">
        <f>+T16-T18+T30</f>
        <v>-3424.08</v>
      </c>
      <c r="U32" s="13"/>
      <c r="V32" s="20">
        <f>IF(T$12=0,0,T32/T$12)</f>
        <v>0</v>
      </c>
      <c r="W32" s="15"/>
      <c r="X32" s="22">
        <f>+P32-T32</f>
        <v>918.61000000000013</v>
      </c>
      <c r="Y32" s="15"/>
      <c r="Z32" s="20">
        <f>IF(T32=0,0,X32/T32)</f>
        <v>-0.26827936263171426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125</v>
      </c>
      <c r="C36" s="26"/>
      <c r="D36" s="33">
        <f>+D32-D34</f>
        <v>-604.96</v>
      </c>
      <c r="E36" s="13"/>
      <c r="F36" s="31">
        <f>IF(D$12=0,0,D36/D$12)</f>
        <v>0</v>
      </c>
      <c r="G36" s="13"/>
      <c r="H36" s="33">
        <f>+H32-H34</f>
        <v>-627.29</v>
      </c>
      <c r="I36" s="13"/>
      <c r="J36" s="31">
        <f>IF(H$12=0,0,H36/H$12)</f>
        <v>0</v>
      </c>
      <c r="K36" s="15"/>
      <c r="L36" s="33">
        <f>D36-H36</f>
        <v>22.329999999999927</v>
      </c>
      <c r="M36" s="15"/>
      <c r="N36" s="31">
        <f>IF(H36=0,0,L36/H36)</f>
        <v>-3.5597570501681726E-2</v>
      </c>
      <c r="O36" s="25"/>
      <c r="P36" s="33">
        <f>+P32-P34</f>
        <v>-2505.4699999999998</v>
      </c>
      <c r="Q36" s="13"/>
      <c r="R36" s="31">
        <f>IF(P$12=0,0,P36/P$12)</f>
        <v>0</v>
      </c>
      <c r="S36" s="13"/>
      <c r="T36" s="33">
        <f>+T32-T34</f>
        <v>-3424.08</v>
      </c>
      <c r="U36" s="13"/>
      <c r="V36" s="31">
        <f>IF(T$12=0,0,T36/T$12)</f>
        <v>0</v>
      </c>
      <c r="W36" s="15"/>
      <c r="X36" s="33">
        <f>P36-T36</f>
        <v>918.61000000000013</v>
      </c>
      <c r="Y36" s="15"/>
      <c r="Z36" s="31">
        <f>IF(T36=0,0,X36/T36)</f>
        <v>-0.26827936263171426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293</v>
      </c>
      <c r="C39" s="26"/>
      <c r="D39" s="34">
        <f>SUM(D36:D38)</f>
        <v>-604.96</v>
      </c>
      <c r="E39" s="13"/>
      <c r="F39" s="30">
        <f>IF(D$12=0,0,D39/D$12)</f>
        <v>0</v>
      </c>
      <c r="G39" s="13"/>
      <c r="H39" s="34">
        <f>SUM(H36:H38)</f>
        <v>-627.29</v>
      </c>
      <c r="I39" s="13"/>
      <c r="J39" s="30">
        <f>IF(H$12=0,0,H39/H$12)</f>
        <v>0</v>
      </c>
      <c r="K39" s="15"/>
      <c r="L39" s="34">
        <f>+D39-H39</f>
        <v>22.329999999999927</v>
      </c>
      <c r="M39" s="15"/>
      <c r="N39" s="30">
        <f>IF(H39=0,0,L39/H39)</f>
        <v>-3.5597570501681726E-2</v>
      </c>
      <c r="O39" s="25"/>
      <c r="P39" s="34">
        <f>SUM(P36:P38)</f>
        <v>-2505.4699999999998</v>
      </c>
      <c r="Q39" s="13"/>
      <c r="R39" s="30">
        <f>IF(P$12=0,0,P39/P$12)</f>
        <v>0</v>
      </c>
      <c r="S39" s="13"/>
      <c r="T39" s="34">
        <f>SUM(T36:T38)</f>
        <v>-3424.08</v>
      </c>
      <c r="U39" s="13"/>
      <c r="V39" s="30">
        <f>IF(T$12=0,0,T39/T$12)</f>
        <v>0</v>
      </c>
      <c r="W39" s="15"/>
      <c r="X39" s="34">
        <f>+P39-T39</f>
        <v>918.61000000000013</v>
      </c>
      <c r="Y39" s="15"/>
      <c r="Z39" s="30">
        <f>IF(T39=0,0,X39/T39)</f>
        <v>-0.26827936263171426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1">
        <v>44517.967041516204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8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58.03</v>
      </c>
      <c r="E18" s="21"/>
      <c r="F18" s="36">
        <f t="shared" ref="F18:F24" si="0">IF(D$12=0,0,D18/D$12)</f>
        <v>0</v>
      </c>
      <c r="G18" s="21"/>
      <c r="H18" s="21">
        <f>SUM(OSRRefH22x_0)</f>
        <v>65.73</v>
      </c>
      <c r="I18" s="21"/>
      <c r="J18" s="36">
        <f t="shared" ref="J18:J24" si="1">IF(H$12=0,0,H18/H$12)</f>
        <v>0</v>
      </c>
      <c r="K18" s="4"/>
      <c r="L18" s="21">
        <f t="shared" ref="L18:L24" si="2">+D18-H18</f>
        <v>-7.7000000000000028</v>
      </c>
      <c r="M18" s="4"/>
      <c r="N18" s="36">
        <f t="shared" ref="N18:N24" si="3">IF(H18=0,0,L18/H18)</f>
        <v>-0.11714589989350377</v>
      </c>
      <c r="O18" s="10"/>
      <c r="P18" s="21">
        <f>SUM(OSRRefP22x_0)</f>
        <v>397.21000000000004</v>
      </c>
      <c r="Q18" s="21"/>
      <c r="R18" s="36">
        <f t="shared" ref="R18:R24" si="4">IF(P$12=0,0,P18/P$12)</f>
        <v>0</v>
      </c>
      <c r="S18" s="21"/>
      <c r="T18" s="21">
        <f>SUM(OSRRefT22x_0)</f>
        <v>4565.7</v>
      </c>
      <c r="U18" s="21"/>
      <c r="V18" s="36">
        <f t="shared" ref="V18:V24" si="5">IF(T$12=0,0,T18/T$12)</f>
        <v>0</v>
      </c>
      <c r="W18" s="4"/>
      <c r="X18" s="21">
        <f t="shared" ref="X18:X24" si="6">+P18-T18</f>
        <v>-4168.49</v>
      </c>
      <c r="Y18" s="4"/>
      <c r="Z18" s="36">
        <f t="shared" ref="Z18:Z24" si="7">IF(T18=0,0,X18/T18)</f>
        <v>-0.91300129224434368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191.51</v>
      </c>
      <c r="U20" s="2"/>
      <c r="V20" s="7">
        <f t="shared" si="5"/>
        <v>0</v>
      </c>
      <c r="W20" s="2"/>
      <c r="X20" s="6">
        <f t="shared" si="6"/>
        <v>-191.51</v>
      </c>
      <c r="Y20" s="2"/>
      <c r="Z20" s="7">
        <f t="shared" si="7"/>
        <v>-1</v>
      </c>
    </row>
    <row r="21" spans="1:26" s="24" customFormat="1" hidden="1" outlineLevel="2" x14ac:dyDescent="0.25">
      <c r="A21" s="29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718.51</v>
      </c>
      <c r="U21" s="2"/>
      <c r="V21" s="7">
        <f t="shared" si="5"/>
        <v>0</v>
      </c>
      <c r="W21" s="2"/>
      <c r="X21" s="6">
        <f t="shared" si="6"/>
        <v>-718.51</v>
      </c>
      <c r="Y21" s="2"/>
      <c r="Z21" s="7">
        <f t="shared" si="7"/>
        <v>-1</v>
      </c>
    </row>
    <row r="22" spans="1:26" s="24" customFormat="1" hidden="1" outlineLevel="2" x14ac:dyDescent="0.25">
      <c r="A22" s="29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377.03</v>
      </c>
      <c r="U22" s="2"/>
      <c r="V22" s="7">
        <f t="shared" si="5"/>
        <v>0</v>
      </c>
      <c r="W22" s="2"/>
      <c r="X22" s="6">
        <f t="shared" si="6"/>
        <v>-377.03</v>
      </c>
      <c r="Y22" s="2"/>
      <c r="Z22" s="7">
        <f t="shared" si="7"/>
        <v>-1</v>
      </c>
    </row>
    <row r="23" spans="1:26" s="24" customFormat="1" hidden="1" outlineLevel="2" x14ac:dyDescent="0.25">
      <c r="A23" s="29"/>
      <c r="B23" s="11" t="str">
        <f>CONCATENATE("          ", "6118", " - ", "VACATION")</f>
        <v xml:space="preserve">          6118 - VACATION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93.89</v>
      </c>
      <c r="U23" s="2"/>
      <c r="V23" s="7">
        <f t="shared" si="5"/>
        <v>0</v>
      </c>
      <c r="W23" s="2"/>
      <c r="X23" s="6">
        <f t="shared" si="6"/>
        <v>-93.89</v>
      </c>
      <c r="Y23" s="2"/>
      <c r="Z23" s="7">
        <f t="shared" si="7"/>
        <v>-1</v>
      </c>
    </row>
    <row r="24" spans="1:26" s="24" customFormat="1" hidden="1" outlineLevel="2" x14ac:dyDescent="0.25">
      <c r="A24" s="29"/>
      <c r="B24" s="11" t="str">
        <f>CONCATENATE("          ", "6119", " - ", "SICK LEAVE")</f>
        <v xml:space="preserve">          6119 - SICK LEAVE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112.49</v>
      </c>
      <c r="U24" s="2"/>
      <c r="V24" s="7">
        <f t="shared" si="5"/>
        <v>0</v>
      </c>
      <c r="W24" s="2"/>
      <c r="X24" s="6">
        <f t="shared" si="6"/>
        <v>-112.49</v>
      </c>
      <c r="Y24" s="2"/>
      <c r="Z24" s="7">
        <f t="shared" si="7"/>
        <v>-1</v>
      </c>
    </row>
    <row r="25" spans="1:26" s="28" customFormat="1" outlineLevel="1" collapsed="1" x14ac:dyDescent="0.25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4" si="8">IF(D$12=0,0,D25/D$12)</f>
        <v>0</v>
      </c>
      <c r="G25" s="1"/>
      <c r="H25" s="1">
        <f>SUM(OSRRefH22_1x_0)</f>
        <v>0</v>
      </c>
      <c r="I25" s="1"/>
      <c r="J25" s="5">
        <f t="shared" ref="J25:J34" si="9">IF(H$12=0,0,H25/H$12)</f>
        <v>0</v>
      </c>
      <c r="K25" s="1"/>
      <c r="L25" s="1">
        <f t="shared" ref="L25:L34" si="10">+D25-H25</f>
        <v>0</v>
      </c>
      <c r="M25" s="1"/>
      <c r="N25" s="5">
        <f t="shared" ref="N25:N34" si="11">IF(H25=0,0,L25/H25)</f>
        <v>0</v>
      </c>
      <c r="O25" s="14"/>
      <c r="P25" s="1">
        <f>SUM(OSRRefP22_1x_0)</f>
        <v>0</v>
      </c>
      <c r="Q25" s="1"/>
      <c r="R25" s="5">
        <f t="shared" ref="R25:R34" si="12">IF(P$12=0,0,P25/P$12)</f>
        <v>0</v>
      </c>
      <c r="S25" s="1"/>
      <c r="T25" s="1">
        <f>SUM(OSRRefT22_1x_0)</f>
        <v>2259.48</v>
      </c>
      <c r="U25" s="1"/>
      <c r="V25" s="5">
        <f t="shared" ref="V25:V34" si="13">IF(T$12=0,0,T25/T$12)</f>
        <v>0</v>
      </c>
      <c r="W25" s="1"/>
      <c r="X25" s="1">
        <f t="shared" ref="X25:X34" si="14">+P25-T25</f>
        <v>-2259.48</v>
      </c>
      <c r="Y25" s="1"/>
      <c r="Z25" s="5">
        <f t="shared" ref="Z25:Z34" si="15">IF(T25=0,0,X25/T25)</f>
        <v>-1</v>
      </c>
    </row>
    <row r="26" spans="1:26" s="24" customFormat="1" hidden="1" outlineLevel="2" x14ac:dyDescent="0.25">
      <c r="A26" s="29"/>
      <c r="B26" s="11" t="str">
        <f>CONCATENATE("          ", "6002", " - ", "STAFF SALARIES")</f>
        <v xml:space="preserve">          6002 - STAFF SALARIES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2259.48</v>
      </c>
      <c r="U26" s="2"/>
      <c r="V26" s="7">
        <f t="shared" si="13"/>
        <v>0</v>
      </c>
      <c r="W26" s="2"/>
      <c r="X26" s="6">
        <f t="shared" si="14"/>
        <v>-2259.48</v>
      </c>
      <c r="Y26" s="2"/>
      <c r="Z26" s="7">
        <f t="shared" si="15"/>
        <v>-1</v>
      </c>
    </row>
    <row r="27" spans="1:26" s="28" customFormat="1" outlineLevel="1" collapsed="1" x14ac:dyDescent="0.25">
      <c r="A27" s="27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232.12</v>
      </c>
      <c r="Q27" s="1"/>
      <c r="R27" s="5">
        <f t="shared" si="12"/>
        <v>0</v>
      </c>
      <c r="S27" s="1"/>
      <c r="T27" s="1">
        <f>SUM(OSRRefT22_2x_0)</f>
        <v>232.12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25">
      <c r="A28" s="29"/>
      <c r="B28" s="11" t="str">
        <f>CONCATENATE("          ", "6322", " - ", "EQUIPMENT DEPRECIATION EXPENSE")</f>
        <v xml:space="preserve">          6322 - EQUIPMENT DEPRECIATION EXPENSE</v>
      </c>
      <c r="C28" s="11"/>
      <c r="D28" s="6">
        <v>58.03</v>
      </c>
      <c r="E28" s="2"/>
      <c r="F28" s="7">
        <f t="shared" si="8"/>
        <v>0</v>
      </c>
      <c r="G28" s="2"/>
      <c r="H28" s="6">
        <v>58.03</v>
      </c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232.12</v>
      </c>
      <c r="Q28" s="2"/>
      <c r="R28" s="7">
        <f t="shared" si="12"/>
        <v>0</v>
      </c>
      <c r="S28" s="2"/>
      <c r="T28" s="6">
        <v>232.12</v>
      </c>
      <c r="U28" s="2"/>
      <c r="V28" s="7">
        <f t="shared" si="13"/>
        <v>0</v>
      </c>
      <c r="W28" s="2"/>
      <c r="X28" s="6">
        <f t="shared" si="14"/>
        <v>0</v>
      </c>
      <c r="Y28" s="2"/>
      <c r="Z28" s="7">
        <f t="shared" si="15"/>
        <v>0</v>
      </c>
    </row>
    <row r="29" spans="1:26" s="28" customFormat="1" outlineLevel="1" collapsed="1" x14ac:dyDescent="0.25">
      <c r="A29" s="27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165.09</v>
      </c>
      <c r="Q29" s="1"/>
      <c r="R29" s="5">
        <f t="shared" si="12"/>
        <v>0</v>
      </c>
      <c r="S29" s="1"/>
      <c r="T29" s="1">
        <f>SUM(OSRRefT22_3x_0)</f>
        <v>244.35</v>
      </c>
      <c r="U29" s="1"/>
      <c r="V29" s="5">
        <f t="shared" si="13"/>
        <v>0</v>
      </c>
      <c r="W29" s="1"/>
      <c r="X29" s="1">
        <f t="shared" si="14"/>
        <v>-79.259999999999991</v>
      </c>
      <c r="Y29" s="1"/>
      <c r="Z29" s="5">
        <f t="shared" si="15"/>
        <v>-0.32437077961939836</v>
      </c>
    </row>
    <row r="30" spans="1:26" s="24" customFormat="1" hidden="1" outlineLevel="2" x14ac:dyDescent="0.25">
      <c r="A30" s="29"/>
      <c r="B30" s="11" t="str">
        <f>CONCATENATE("          ", "6373", " - ", "MAINTENANCE CONTRACTS")</f>
        <v xml:space="preserve">          6373 - MAINTENANCE CONTRACTS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165.09</v>
      </c>
      <c r="Q30" s="2"/>
      <c r="R30" s="7">
        <f t="shared" si="12"/>
        <v>0</v>
      </c>
      <c r="S30" s="2"/>
      <c r="T30" s="6">
        <v>244.35</v>
      </c>
      <c r="U30" s="2"/>
      <c r="V30" s="7">
        <f t="shared" si="13"/>
        <v>0</v>
      </c>
      <c r="W30" s="2"/>
      <c r="X30" s="6">
        <f t="shared" si="14"/>
        <v>-79.259999999999991</v>
      </c>
      <c r="Y30" s="2"/>
      <c r="Z30" s="7">
        <f t="shared" si="15"/>
        <v>-0.32437077961939836</v>
      </c>
    </row>
    <row r="31" spans="1:26" s="28" customFormat="1" outlineLevel="1" collapsed="1" x14ac:dyDescent="0.25">
      <c r="A31" s="27"/>
      <c r="B31" s="14" t="str">
        <f>CONCATENATE("     ","Services                                          ")</f>
        <v xml:space="preserve">     Services            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286.62</v>
      </c>
      <c r="U31" s="1"/>
      <c r="V31" s="5">
        <f t="shared" si="13"/>
        <v>0</v>
      </c>
      <c r="W31" s="1"/>
      <c r="X31" s="1">
        <f t="shared" si="14"/>
        <v>-286.62</v>
      </c>
      <c r="Y31" s="1"/>
      <c r="Z31" s="5">
        <f t="shared" si="15"/>
        <v>-1</v>
      </c>
    </row>
    <row r="32" spans="1:26" s="24" customFormat="1" hidden="1" outlineLevel="2" x14ac:dyDescent="0.25">
      <c r="A32" s="29"/>
      <c r="B32" s="11" t="str">
        <f>CONCATENATE("          ", "6282", " - ", "JANITORIAL/EXTERMINATOR EXPENS")</f>
        <v xml:space="preserve">          6282 - JANITORIAL/EXTERMINATOR EXPENS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286.62</v>
      </c>
      <c r="U32" s="2"/>
      <c r="V32" s="7">
        <f t="shared" si="13"/>
        <v>0</v>
      </c>
      <c r="W32" s="2"/>
      <c r="X32" s="6">
        <f t="shared" si="14"/>
        <v>-286.62</v>
      </c>
      <c r="Y32" s="2"/>
      <c r="Z32" s="7">
        <f t="shared" si="15"/>
        <v>-1</v>
      </c>
    </row>
    <row r="33" spans="1:26" s="28" customFormat="1" outlineLevel="1" collapsed="1" x14ac:dyDescent="0.25">
      <c r="A33" s="27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8"/>
        <v>0</v>
      </c>
      <c r="G33" s="1"/>
      <c r="H33" s="1">
        <f>SUM(OSRRefH22_5x_0)</f>
        <v>7.7</v>
      </c>
      <c r="I33" s="1"/>
      <c r="J33" s="5">
        <f t="shared" si="9"/>
        <v>0</v>
      </c>
      <c r="K33" s="1"/>
      <c r="L33" s="1">
        <f t="shared" si="10"/>
        <v>-7.7</v>
      </c>
      <c r="M33" s="1"/>
      <c r="N33" s="5">
        <f t="shared" si="11"/>
        <v>-1</v>
      </c>
      <c r="O33" s="14"/>
      <c r="P33" s="1">
        <f>SUM(OSRRefP22_5x_0)</f>
        <v>0</v>
      </c>
      <c r="Q33" s="1"/>
      <c r="R33" s="5">
        <f t="shared" si="12"/>
        <v>0</v>
      </c>
      <c r="S33" s="1"/>
      <c r="T33" s="1">
        <f>SUM(OSRRefT22_5x_0)</f>
        <v>49.7</v>
      </c>
      <c r="U33" s="1"/>
      <c r="V33" s="5">
        <f t="shared" si="13"/>
        <v>0</v>
      </c>
      <c r="W33" s="1"/>
      <c r="X33" s="1">
        <f t="shared" si="14"/>
        <v>-49.7</v>
      </c>
      <c r="Y33" s="1"/>
      <c r="Z33" s="5">
        <f t="shared" si="15"/>
        <v>-1</v>
      </c>
    </row>
    <row r="34" spans="1:26" s="24" customFormat="1" hidden="1" outlineLevel="2" x14ac:dyDescent="0.25">
      <c r="A34" s="29"/>
      <c r="B34" s="11" t="str">
        <f>CONCATENATE("          ", "6309", " - ", "TELEPHONE")</f>
        <v xml:space="preserve">          6309 - TELEPHONE</v>
      </c>
      <c r="C34" s="11"/>
      <c r="D34" s="6"/>
      <c r="E34" s="2"/>
      <c r="F34" s="7">
        <f t="shared" si="8"/>
        <v>0</v>
      </c>
      <c r="G34" s="2"/>
      <c r="H34" s="6">
        <v>7.7</v>
      </c>
      <c r="I34" s="2"/>
      <c r="J34" s="7">
        <f t="shared" si="9"/>
        <v>0</v>
      </c>
      <c r="K34" s="2"/>
      <c r="L34" s="6">
        <f t="shared" si="10"/>
        <v>-7.7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49.7</v>
      </c>
      <c r="U34" s="2"/>
      <c r="V34" s="7">
        <f t="shared" si="13"/>
        <v>0</v>
      </c>
      <c r="W34" s="2"/>
      <c r="X34" s="6">
        <f t="shared" si="14"/>
        <v>-49.7</v>
      </c>
      <c r="Y34" s="2"/>
      <c r="Z34" s="7">
        <f t="shared" si="15"/>
        <v>-1</v>
      </c>
    </row>
    <row r="35" spans="1:26" s="56" customFormat="1" x14ac:dyDescent="0.25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25">
      <c r="A36" s="10"/>
      <c r="B36" s="25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6" t="s">
        <v>276</v>
      </c>
      <c r="C38" s="26"/>
      <c r="D38" s="22">
        <f>+D16-D18+D36</f>
        <v>-58.03</v>
      </c>
      <c r="E38" s="13"/>
      <c r="F38" s="20">
        <f>IF(D$12=0,0,D38/D$12)</f>
        <v>0</v>
      </c>
      <c r="G38" s="13"/>
      <c r="H38" s="22">
        <f>+H16-H18+H36</f>
        <v>-65.73</v>
      </c>
      <c r="I38" s="13"/>
      <c r="J38" s="20">
        <f>IF(H$12=0,0,H38/H$12)</f>
        <v>0</v>
      </c>
      <c r="K38" s="15"/>
      <c r="L38" s="22">
        <f>+D38-H38</f>
        <v>7.7000000000000028</v>
      </c>
      <c r="M38" s="15"/>
      <c r="N38" s="20">
        <f>IF(H38=0,0,L38/H38)</f>
        <v>-0.11714589989350377</v>
      </c>
      <c r="O38" s="25"/>
      <c r="P38" s="22">
        <f>+P16-P18+P36</f>
        <v>-397.21000000000004</v>
      </c>
      <c r="Q38" s="13"/>
      <c r="R38" s="20">
        <f>IF(P$12=0,0,P38/P$12)</f>
        <v>0</v>
      </c>
      <c r="S38" s="13"/>
      <c r="T38" s="22">
        <f>+T16-T18+T36</f>
        <v>-4565.7</v>
      </c>
      <c r="U38" s="13"/>
      <c r="V38" s="20">
        <f>IF(T$12=0,0,T38/T$12)</f>
        <v>0</v>
      </c>
      <c r="W38" s="15"/>
      <c r="X38" s="22">
        <f>+P38-T38</f>
        <v>4168.49</v>
      </c>
      <c r="Y38" s="15"/>
      <c r="Z38" s="20">
        <f>IF(T38=0,0,X38/T38)</f>
        <v>-0.91300129224434368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6" t="s">
        <v>125</v>
      </c>
      <c r="C42" s="26"/>
      <c r="D42" s="33">
        <f>+D38-D40</f>
        <v>-58.03</v>
      </c>
      <c r="E42" s="13"/>
      <c r="F42" s="31">
        <f>IF(D$12=0,0,D42/D$12)</f>
        <v>0</v>
      </c>
      <c r="G42" s="13"/>
      <c r="H42" s="33">
        <f>+H38-H40</f>
        <v>-65.73</v>
      </c>
      <c r="I42" s="13"/>
      <c r="J42" s="31">
        <f>IF(H$12=0,0,H42/H$12)</f>
        <v>0</v>
      </c>
      <c r="K42" s="15"/>
      <c r="L42" s="33">
        <f>D42-H42</f>
        <v>7.7000000000000028</v>
      </c>
      <c r="M42" s="15"/>
      <c r="N42" s="31">
        <f>IF(H42=0,0,L42/H42)</f>
        <v>-0.11714589989350377</v>
      </c>
      <c r="O42" s="25"/>
      <c r="P42" s="33">
        <f>+P38-P40</f>
        <v>-397.21000000000004</v>
      </c>
      <c r="Q42" s="13"/>
      <c r="R42" s="31">
        <f>IF(P$12=0,0,P42/P$12)</f>
        <v>0</v>
      </c>
      <c r="S42" s="13"/>
      <c r="T42" s="33">
        <f>+T38-T40</f>
        <v>-4565.7</v>
      </c>
      <c r="U42" s="13"/>
      <c r="V42" s="31">
        <f>IF(T$12=0,0,T42/T$12)</f>
        <v>0</v>
      </c>
      <c r="W42" s="15"/>
      <c r="X42" s="33">
        <f>P42-T42</f>
        <v>4168.49</v>
      </c>
      <c r="Y42" s="15"/>
      <c r="Z42" s="31">
        <f>IF(T42=0,0,X42/T42)</f>
        <v>-0.91300129224434368</v>
      </c>
    </row>
    <row r="43" spans="1:26" ht="15.75" thickTop="1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2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.75" thickBot="1" x14ac:dyDescent="0.3">
      <c r="A45" s="10"/>
      <c r="B45" s="26" t="s">
        <v>293</v>
      </c>
      <c r="C45" s="26"/>
      <c r="D45" s="34">
        <f>SUM(D42:D44)</f>
        <v>-58.03</v>
      </c>
      <c r="E45" s="13"/>
      <c r="F45" s="30">
        <f>IF(D$12=0,0,D45/D$12)</f>
        <v>0</v>
      </c>
      <c r="G45" s="13"/>
      <c r="H45" s="34">
        <f>SUM(H42:H44)</f>
        <v>-65.73</v>
      </c>
      <c r="I45" s="13"/>
      <c r="J45" s="30">
        <f>IF(H$12=0,0,H45/H$12)</f>
        <v>0</v>
      </c>
      <c r="K45" s="15"/>
      <c r="L45" s="34">
        <f>+D45-H45</f>
        <v>7.7000000000000028</v>
      </c>
      <c r="M45" s="15"/>
      <c r="N45" s="30">
        <f>IF(H45=0,0,L45/H45)</f>
        <v>-0.11714589989350377</v>
      </c>
      <c r="O45" s="25"/>
      <c r="P45" s="34">
        <f>SUM(P42:P44)</f>
        <v>-397.21000000000004</v>
      </c>
      <c r="Q45" s="13"/>
      <c r="R45" s="30">
        <f>IF(P$12=0,0,P45/P$12)</f>
        <v>0</v>
      </c>
      <c r="S45" s="13"/>
      <c r="T45" s="34">
        <f>SUM(T42:T44)</f>
        <v>-4565.7</v>
      </c>
      <c r="U45" s="13"/>
      <c r="V45" s="30">
        <f>IF(T$12=0,0,T45/T$12)</f>
        <v>0</v>
      </c>
      <c r="W45" s="15"/>
      <c r="X45" s="34">
        <f>+P45-T45</f>
        <v>4168.49</v>
      </c>
      <c r="Y45" s="15"/>
      <c r="Z45" s="30">
        <f>IF(T45=0,0,X45/T45)</f>
        <v>-0.91300129224434368</v>
      </c>
    </row>
    <row r="46" spans="1:26" ht="15.75" thickTop="1" x14ac:dyDescent="0.25">
      <c r="A46" s="9"/>
      <c r="C46" s="9"/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61">
        <v>44517.967041516204</v>
      </c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A48" s="9"/>
      <c r="B48" s="57" t="s">
        <v>56</v>
      </c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1:24" x14ac:dyDescent="0.25">
      <c r="A49" s="9"/>
      <c r="B49" s="58"/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974.91</v>
      </c>
      <c r="U12" s="4"/>
      <c r="V12" s="12"/>
      <c r="W12" s="4"/>
      <c r="X12" s="4">
        <f t="shared" ref="X12:X13" si="2">+P12-T12</f>
        <v>-974.91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--974.91</f>
        <v>974.91</v>
      </c>
      <c r="U13" s="2"/>
      <c r="V13" s="19"/>
      <c r="W13" s="2"/>
      <c r="X13" s="2">
        <f t="shared" si="2"/>
        <v>-974.91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D12-D15</f>
        <v>0</v>
      </c>
      <c r="E17" s="13"/>
      <c r="F17" s="20">
        <f>IF(D$12=0,0,D17/D$12)</f>
        <v>0</v>
      </c>
      <c r="G17" s="13"/>
      <c r="H17" s="22">
        <f>H12-H15</f>
        <v>0</v>
      </c>
      <c r="I17" s="13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5"/>
      <c r="P17" s="22">
        <f>P12-P15</f>
        <v>0</v>
      </c>
      <c r="Q17" s="13"/>
      <c r="R17" s="20">
        <f>IF(P$12=0,0,P17/P$12)</f>
        <v>0</v>
      </c>
      <c r="S17" s="13"/>
      <c r="T17" s="22">
        <f>T12-T15</f>
        <v>974.91</v>
      </c>
      <c r="U17" s="13"/>
      <c r="V17" s="20">
        <f>IF(T$12=0,0,T17/T$12)</f>
        <v>1</v>
      </c>
      <c r="W17" s="15"/>
      <c r="X17" s="22">
        <f>+P17-T17</f>
        <v>-974.91</v>
      </c>
      <c r="Y17" s="15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SUM(OSRRefD22x_0)</f>
        <v>0</v>
      </c>
      <c r="E19" s="21"/>
      <c r="F19" s="36">
        <f t="shared" ref="F19:F30" si="4">IF(D$12=0,0,D19/D$12)</f>
        <v>0</v>
      </c>
      <c r="G19" s="21"/>
      <c r="H19" s="21">
        <f>SUM(OSRRefH22x_0)</f>
        <v>1825.26</v>
      </c>
      <c r="I19" s="21"/>
      <c r="J19" s="36">
        <f t="shared" ref="J19:J30" si="5">IF(H$12=0,0,H19/H$12)</f>
        <v>0</v>
      </c>
      <c r="K19" s="4"/>
      <c r="L19" s="21">
        <f t="shared" ref="L19:L30" si="6">+D19-H19</f>
        <v>-1825.26</v>
      </c>
      <c r="M19" s="4"/>
      <c r="N19" s="36">
        <f t="shared" ref="N19:N30" si="7">IF(H19=0,0,L19/H19)</f>
        <v>-1</v>
      </c>
      <c r="O19" s="10"/>
      <c r="P19" s="21">
        <f>SUM(OSRRefP22x_0)</f>
        <v>129.16999999999999</v>
      </c>
      <c r="Q19" s="21"/>
      <c r="R19" s="36">
        <f t="shared" ref="R19:R30" si="8">IF(P$12=0,0,P19/P$12)</f>
        <v>0</v>
      </c>
      <c r="S19" s="21"/>
      <c r="T19" s="21">
        <f>SUM(OSRRefT22x_0)</f>
        <v>8622.7999999999993</v>
      </c>
      <c r="U19" s="21"/>
      <c r="V19" s="36">
        <f t="shared" ref="V19:V30" si="9">IF(T$12=0,0,T19/T$12)</f>
        <v>8.8447138710239912</v>
      </c>
      <c r="W19" s="4"/>
      <c r="X19" s="21">
        <f t="shared" ref="X19:X30" si="10">+P19-T19</f>
        <v>-8493.6299999999992</v>
      </c>
      <c r="Y19" s="4"/>
      <c r="Z19" s="36">
        <f t="shared" ref="Z19:Z30" si="11">IF(T19=0,0,X19/T19)</f>
        <v>-0.98501994711694574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25">
      <c r="A21" s="29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4"/>
        <v>0</v>
      </c>
      <c r="G21" s="2"/>
      <c r="H21" s="6"/>
      <c r="I21" s="2"/>
      <c r="J21" s="7">
        <f t="shared" si="5"/>
        <v>0</v>
      </c>
      <c r="K21" s="2"/>
      <c r="L21" s="6">
        <f t="shared" si="6"/>
        <v>0</v>
      </c>
      <c r="M21" s="2"/>
      <c r="N21" s="7">
        <f t="shared" si="7"/>
        <v>0</v>
      </c>
      <c r="O21" s="11"/>
      <c r="P21" s="6"/>
      <c r="Q21" s="2"/>
      <c r="R21" s="7">
        <f t="shared" si="8"/>
        <v>0</v>
      </c>
      <c r="S21" s="2"/>
      <c r="T21" s="6">
        <v>702.51</v>
      </c>
      <c r="U21" s="2"/>
      <c r="V21" s="7">
        <f t="shared" si="9"/>
        <v>0.72058959288549718</v>
      </c>
      <c r="W21" s="2"/>
      <c r="X21" s="6">
        <f t="shared" si="10"/>
        <v>-702.51</v>
      </c>
      <c r="Y21" s="2"/>
      <c r="Z21" s="7">
        <f t="shared" si="11"/>
        <v>-1</v>
      </c>
    </row>
    <row r="22" spans="1:26" s="28" customFormat="1" outlineLevel="1" collapsed="1" x14ac:dyDescent="0.25">
      <c r="A22" s="27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1825.26</v>
      </c>
      <c r="I22" s="1"/>
      <c r="J22" s="5">
        <f t="shared" si="5"/>
        <v>0</v>
      </c>
      <c r="K22" s="1"/>
      <c r="L22" s="1">
        <f t="shared" si="6"/>
        <v>-1825.26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7447.83</v>
      </c>
      <c r="U22" s="1"/>
      <c r="V22" s="5">
        <f t="shared" si="9"/>
        <v>7.6395051850940092</v>
      </c>
      <c r="W22" s="1"/>
      <c r="X22" s="1">
        <f t="shared" si="10"/>
        <v>-7447.83</v>
      </c>
      <c r="Y22" s="1"/>
      <c r="Z22" s="5">
        <f t="shared" si="11"/>
        <v>-1</v>
      </c>
    </row>
    <row r="23" spans="1:26" s="24" customFormat="1" hidden="1" outlineLevel="2" x14ac:dyDescent="0.25">
      <c r="A23" s="29"/>
      <c r="B23" s="11" t="str">
        <f>CONCATENATE("          ", "6322", " - ", "EQUIPMENT DEPRECIATION EXPENSE")</f>
        <v xml:space="preserve">          6322 - EQUIPMENT DEPRECIATION EXPENSE</v>
      </c>
      <c r="C23" s="11"/>
      <c r="D23" s="6"/>
      <c r="E23" s="2"/>
      <c r="F23" s="7">
        <f t="shared" si="4"/>
        <v>0</v>
      </c>
      <c r="G23" s="2"/>
      <c r="H23" s="6">
        <v>1825.26</v>
      </c>
      <c r="I23" s="2"/>
      <c r="J23" s="7">
        <f t="shared" si="5"/>
        <v>0</v>
      </c>
      <c r="K23" s="2"/>
      <c r="L23" s="6">
        <f t="shared" si="6"/>
        <v>-1825.26</v>
      </c>
      <c r="M23" s="2"/>
      <c r="N23" s="7">
        <f t="shared" si="7"/>
        <v>-1</v>
      </c>
      <c r="O23" s="11"/>
      <c r="P23" s="6"/>
      <c r="Q23" s="2"/>
      <c r="R23" s="7">
        <f t="shared" si="8"/>
        <v>0</v>
      </c>
      <c r="S23" s="2"/>
      <c r="T23" s="6">
        <v>7447.83</v>
      </c>
      <c r="U23" s="2"/>
      <c r="V23" s="7">
        <f t="shared" si="9"/>
        <v>7.6395051850940092</v>
      </c>
      <c r="W23" s="2"/>
      <c r="X23" s="6">
        <f t="shared" si="10"/>
        <v>-7447.83</v>
      </c>
      <c r="Y23" s="2"/>
      <c r="Z23" s="7">
        <f t="shared" si="11"/>
        <v>-1</v>
      </c>
    </row>
    <row r="24" spans="1:26" s="28" customFormat="1" outlineLevel="1" collapsed="1" x14ac:dyDescent="0.25">
      <c r="A24" s="27"/>
      <c r="B24" s="14" t="str">
        <f>CONCATENATE("     ","Equipment Rental                                  ")</f>
        <v xml:space="preserve">     Equipment Rental                                  </v>
      </c>
      <c r="C24" s="14"/>
      <c r="D24" s="1">
        <f>SUM(OSRRefD22_2x_0)</f>
        <v>0</v>
      </c>
      <c r="E24" s="1"/>
      <c r="F24" s="5">
        <f t="shared" si="4"/>
        <v>0</v>
      </c>
      <c r="G24" s="1"/>
      <c r="H24" s="1">
        <f>SUM(OSRRefH22_2x_0)</f>
        <v>0</v>
      </c>
      <c r="I24" s="1"/>
      <c r="J24" s="5">
        <f t="shared" si="5"/>
        <v>0</v>
      </c>
      <c r="K24" s="1"/>
      <c r="L24" s="1">
        <f t="shared" si="6"/>
        <v>0</v>
      </c>
      <c r="M24" s="1"/>
      <c r="N24" s="5">
        <f t="shared" si="7"/>
        <v>0</v>
      </c>
      <c r="O24" s="14"/>
      <c r="P24" s="1">
        <f>SUM(OSRRefP22_2x_0)</f>
        <v>0</v>
      </c>
      <c r="Q24" s="1"/>
      <c r="R24" s="5">
        <f t="shared" si="8"/>
        <v>0</v>
      </c>
      <c r="S24" s="1"/>
      <c r="T24" s="1">
        <f>SUM(OSRRefT22_2x_0)</f>
        <v>96.3</v>
      </c>
      <c r="U24" s="1"/>
      <c r="V24" s="5">
        <f t="shared" si="9"/>
        <v>9.8778348770655749E-2</v>
      </c>
      <c r="W24" s="1"/>
      <c r="X24" s="1">
        <f t="shared" si="10"/>
        <v>-96.3</v>
      </c>
      <c r="Y24" s="1"/>
      <c r="Z24" s="5">
        <f t="shared" si="11"/>
        <v>-1</v>
      </c>
    </row>
    <row r="25" spans="1:26" s="24" customFormat="1" hidden="1" outlineLevel="2" x14ac:dyDescent="0.25">
      <c r="A25" s="29"/>
      <c r="B25" s="11" t="str">
        <f>CONCATENATE("          ", "6351", " - ", "EQUIPMENT RENTAL")</f>
        <v xml:space="preserve">          6351 - EQUIPMENT RENTAL</v>
      </c>
      <c r="C25" s="11"/>
      <c r="D25" s="6"/>
      <c r="E25" s="2"/>
      <c r="F25" s="7">
        <f t="shared" si="4"/>
        <v>0</v>
      </c>
      <c r="G25" s="2"/>
      <c r="H25" s="6"/>
      <c r="I25" s="2"/>
      <c r="J25" s="7">
        <f t="shared" si="5"/>
        <v>0</v>
      </c>
      <c r="K25" s="2"/>
      <c r="L25" s="6">
        <f t="shared" si="6"/>
        <v>0</v>
      </c>
      <c r="M25" s="2"/>
      <c r="N25" s="7">
        <f t="shared" si="7"/>
        <v>0</v>
      </c>
      <c r="O25" s="11"/>
      <c r="P25" s="6"/>
      <c r="Q25" s="2"/>
      <c r="R25" s="7">
        <f t="shared" si="8"/>
        <v>0</v>
      </c>
      <c r="S25" s="2"/>
      <c r="T25" s="6">
        <v>96.3</v>
      </c>
      <c r="U25" s="2"/>
      <c r="V25" s="7">
        <f t="shared" si="9"/>
        <v>9.8778348770655749E-2</v>
      </c>
      <c r="W25" s="2"/>
      <c r="X25" s="6">
        <f t="shared" si="10"/>
        <v>-96.3</v>
      </c>
      <c r="Y25" s="2"/>
      <c r="Z25" s="7">
        <f t="shared" si="11"/>
        <v>-1</v>
      </c>
    </row>
    <row r="26" spans="1:26" s="28" customFormat="1" outlineLevel="1" collapsed="1" x14ac:dyDescent="0.25">
      <c r="A26" s="27"/>
      <c r="B26" s="14" t="str">
        <f>CONCATENATE("     ","General                                           ")</f>
        <v xml:space="preserve">     General                                           </v>
      </c>
      <c r="C26" s="14"/>
      <c r="D26" s="1">
        <f>SUM(OSRRefD22_3x_0)</f>
        <v>0</v>
      </c>
      <c r="E26" s="1"/>
      <c r="F26" s="5">
        <f t="shared" si="4"/>
        <v>0</v>
      </c>
      <c r="G26" s="1"/>
      <c r="H26" s="1">
        <f>SUM(OSRRefH22_3x_0)</f>
        <v>0</v>
      </c>
      <c r="I26" s="1"/>
      <c r="J26" s="5">
        <f t="shared" si="5"/>
        <v>0</v>
      </c>
      <c r="K26" s="1"/>
      <c r="L26" s="1">
        <f t="shared" si="6"/>
        <v>0</v>
      </c>
      <c r="M26" s="1"/>
      <c r="N26" s="5">
        <f t="shared" si="7"/>
        <v>0</v>
      </c>
      <c r="O26" s="14"/>
      <c r="P26" s="1">
        <f>SUM(OSRRefP22_3x_0)</f>
        <v>0</v>
      </c>
      <c r="Q26" s="1"/>
      <c r="R26" s="5">
        <f t="shared" si="8"/>
        <v>0</v>
      </c>
      <c r="S26" s="1"/>
      <c r="T26" s="1">
        <f>SUM(OSRRefT22_3x_0)</f>
        <v>7.28</v>
      </c>
      <c r="U26" s="1"/>
      <c r="V26" s="5">
        <f t="shared" si="9"/>
        <v>7.467355961063073E-3</v>
      </c>
      <c r="W26" s="1"/>
      <c r="X26" s="1">
        <f t="shared" si="10"/>
        <v>-7.28</v>
      </c>
      <c r="Y26" s="1"/>
      <c r="Z26" s="5">
        <f t="shared" si="11"/>
        <v>-1</v>
      </c>
    </row>
    <row r="27" spans="1:26" s="24" customFormat="1" hidden="1" outlineLevel="2" x14ac:dyDescent="0.25">
      <c r="A27" s="29"/>
      <c r="B27" s="11" t="str">
        <f>CONCATENATE("          ", "6279", " - ", "GENERAL EXPENSE")</f>
        <v xml:space="preserve">          6279 - GENERAL EXPENSE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/>
      <c r="Q27" s="2"/>
      <c r="R27" s="7">
        <f t="shared" si="8"/>
        <v>0</v>
      </c>
      <c r="S27" s="2"/>
      <c r="T27" s="6">
        <v>7.28</v>
      </c>
      <c r="U27" s="2"/>
      <c r="V27" s="7">
        <f t="shared" si="9"/>
        <v>7.467355961063073E-3</v>
      </c>
      <c r="W27" s="2"/>
      <c r="X27" s="6">
        <f t="shared" si="10"/>
        <v>-7.28</v>
      </c>
      <c r="Y27" s="2"/>
      <c r="Z27" s="7">
        <f t="shared" si="11"/>
        <v>-1</v>
      </c>
    </row>
    <row r="28" spans="1:26" s="28" customFormat="1" outlineLevel="1" collapsed="1" x14ac:dyDescent="0.25">
      <c r="A28" s="27"/>
      <c r="B28" s="14" t="str">
        <f>CONCATENATE("     ","Repair and Maintenance                            ")</f>
        <v xml:space="preserve">     Repair and Maintenance                            </v>
      </c>
      <c r="C28" s="14"/>
      <c r="D28" s="1">
        <f>SUM(OSRRefD22_4x_0)</f>
        <v>0</v>
      </c>
      <c r="E28" s="1"/>
      <c r="F28" s="5">
        <f t="shared" si="4"/>
        <v>0</v>
      </c>
      <c r="G28" s="1"/>
      <c r="H28" s="1">
        <f>SUM(OSRRefH22_4x_0)</f>
        <v>0</v>
      </c>
      <c r="I28" s="1"/>
      <c r="J28" s="5">
        <f t="shared" si="5"/>
        <v>0</v>
      </c>
      <c r="K28" s="1"/>
      <c r="L28" s="1">
        <f t="shared" si="6"/>
        <v>0</v>
      </c>
      <c r="M28" s="1"/>
      <c r="N28" s="5">
        <f t="shared" si="7"/>
        <v>0</v>
      </c>
      <c r="O28" s="14"/>
      <c r="P28" s="1">
        <f>SUM(OSRRefP22_4x_0)</f>
        <v>129.16999999999999</v>
      </c>
      <c r="Q28" s="1"/>
      <c r="R28" s="5">
        <f t="shared" si="8"/>
        <v>0</v>
      </c>
      <c r="S28" s="1"/>
      <c r="T28" s="1">
        <f>SUM(OSRRefT22_4x_0)</f>
        <v>368.88</v>
      </c>
      <c r="U28" s="1"/>
      <c r="V28" s="5">
        <f t="shared" si="9"/>
        <v>0.37837338831276734</v>
      </c>
      <c r="W28" s="1"/>
      <c r="X28" s="1">
        <f t="shared" si="10"/>
        <v>-239.71</v>
      </c>
      <c r="Y28" s="1"/>
      <c r="Z28" s="5">
        <f t="shared" si="11"/>
        <v>-0.64983192366081111</v>
      </c>
    </row>
    <row r="29" spans="1:26" s="24" customFormat="1" hidden="1" outlineLevel="2" x14ac:dyDescent="0.25">
      <c r="A29" s="29"/>
      <c r="B29" s="11" t="str">
        <f>CONCATENATE("          ", "6373", " - ", "MAINTENANCE CONTRACTS")</f>
        <v xml:space="preserve">          6373 - MAINTENANCE CONTRACTS</v>
      </c>
      <c r="C29" s="11"/>
      <c r="D29" s="6"/>
      <c r="E29" s="2"/>
      <c r="F29" s="7">
        <f t="shared" si="4"/>
        <v>0</v>
      </c>
      <c r="G29" s="2"/>
      <c r="H29" s="6"/>
      <c r="I29" s="2"/>
      <c r="J29" s="7">
        <f t="shared" si="5"/>
        <v>0</v>
      </c>
      <c r="K29" s="2"/>
      <c r="L29" s="6">
        <f t="shared" si="6"/>
        <v>0</v>
      </c>
      <c r="M29" s="2"/>
      <c r="N29" s="7">
        <f t="shared" si="7"/>
        <v>0</v>
      </c>
      <c r="O29" s="11"/>
      <c r="P29" s="6">
        <v>129.16999999999999</v>
      </c>
      <c r="Q29" s="2"/>
      <c r="R29" s="7">
        <f t="shared" si="8"/>
        <v>0</v>
      </c>
      <c r="S29" s="2"/>
      <c r="T29" s="6">
        <v>168.88</v>
      </c>
      <c r="U29" s="2"/>
      <c r="V29" s="7">
        <f t="shared" si="9"/>
        <v>0.17322624652532029</v>
      </c>
      <c r="W29" s="2"/>
      <c r="X29" s="6">
        <f t="shared" si="10"/>
        <v>-39.710000000000008</v>
      </c>
      <c r="Y29" s="2"/>
      <c r="Z29" s="7">
        <f t="shared" si="11"/>
        <v>-0.23513737565135012</v>
      </c>
    </row>
    <row r="30" spans="1:26" s="24" customFormat="1" hidden="1" outlineLevel="2" x14ac:dyDescent="0.25">
      <c r="A30" s="29"/>
      <c r="B30" s="11" t="str">
        <f>CONCATENATE("          ", "6375", " - ", "OUTSIDE REPAIRS &amp; MAINTENANCE")</f>
        <v xml:space="preserve">          6375 - OUTSIDE REPAIRS &amp; MAINTENANCE</v>
      </c>
      <c r="C30" s="11"/>
      <c r="D30" s="6"/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0</v>
      </c>
      <c r="M30" s="2"/>
      <c r="N30" s="7">
        <f t="shared" si="7"/>
        <v>0</v>
      </c>
      <c r="O30" s="11"/>
      <c r="P30" s="6"/>
      <c r="Q30" s="2"/>
      <c r="R30" s="7">
        <f t="shared" si="8"/>
        <v>0</v>
      </c>
      <c r="S30" s="2"/>
      <c r="T30" s="6">
        <v>200</v>
      </c>
      <c r="U30" s="2"/>
      <c r="V30" s="7">
        <f t="shared" si="9"/>
        <v>0.20514714178744706</v>
      </c>
      <c r="W30" s="2"/>
      <c r="X30" s="6">
        <f t="shared" si="10"/>
        <v>-200</v>
      </c>
      <c r="Y30" s="2"/>
      <c r="Z30" s="7">
        <f t="shared" si="11"/>
        <v>-1</v>
      </c>
    </row>
    <row r="31" spans="1:26" s="56" customFormat="1" x14ac:dyDescent="0.25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5" t="s">
        <v>292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6" t="s">
        <v>276</v>
      </c>
      <c r="C34" s="26"/>
      <c r="D34" s="22">
        <f>+D17-D19+D32</f>
        <v>0</v>
      </c>
      <c r="E34" s="13"/>
      <c r="F34" s="20">
        <f>IF(D$12=0,0,D34/D$12)</f>
        <v>0</v>
      </c>
      <c r="G34" s="13"/>
      <c r="H34" s="22">
        <f>+H17-H19+H32</f>
        <v>-1825.26</v>
      </c>
      <c r="I34" s="13"/>
      <c r="J34" s="20">
        <f>IF(H$12=0,0,H34/H$12)</f>
        <v>0</v>
      </c>
      <c r="K34" s="15"/>
      <c r="L34" s="22">
        <f>+D34-H34</f>
        <v>1825.26</v>
      </c>
      <c r="M34" s="15"/>
      <c r="N34" s="20">
        <f>IF(H34=0,0,L34/H34)</f>
        <v>-1</v>
      </c>
      <c r="O34" s="25"/>
      <c r="P34" s="22">
        <f>+P17-P19+P32</f>
        <v>-129.16999999999999</v>
      </c>
      <c r="Q34" s="13"/>
      <c r="R34" s="20">
        <f>IF(P$12=0,0,P34/P$12)</f>
        <v>0</v>
      </c>
      <c r="S34" s="13"/>
      <c r="T34" s="22">
        <f>+T17-T19+T32</f>
        <v>-7647.8899999999994</v>
      </c>
      <c r="U34" s="13"/>
      <c r="V34" s="20">
        <f>IF(T$12=0,0,T34/T$12)</f>
        <v>-7.8447138710239912</v>
      </c>
      <c r="W34" s="15"/>
      <c r="X34" s="22">
        <f>+P34-T34</f>
        <v>7518.7199999999993</v>
      </c>
      <c r="Y34" s="15"/>
      <c r="Z34" s="20">
        <f>IF(T34=0,0,X34/T34)</f>
        <v>-0.98311037423393899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51"/>
      <c r="B36" s="10" t="s">
        <v>127</v>
      </c>
      <c r="C36" s="10"/>
      <c r="D36" s="4"/>
      <c r="E36" s="4"/>
      <c r="F36" s="12">
        <f>IF(D$12=0,0,D36/D$12)</f>
        <v>0</v>
      </c>
      <c r="G36" s="4"/>
      <c r="H36" s="4">
        <v>30.58</v>
      </c>
      <c r="I36" s="4"/>
      <c r="J36" s="12">
        <f>IF(H$12=0,0,H36/H$12)</f>
        <v>0</v>
      </c>
      <c r="K36" s="4"/>
      <c r="L36" s="4">
        <f>+D36-H36</f>
        <v>-30.58</v>
      </c>
      <c r="M36" s="4"/>
      <c r="N36" s="12">
        <f>IF(H36=0,0,L36/H36)</f>
        <v>-1</v>
      </c>
      <c r="O36" s="10"/>
      <c r="P36" s="4"/>
      <c r="Q36" s="4"/>
      <c r="R36" s="12">
        <f>IF(P$12=0,0,P36/P$12)</f>
        <v>0</v>
      </c>
      <c r="S36" s="4"/>
      <c r="T36" s="4">
        <v>211.19</v>
      </c>
      <c r="U36" s="4"/>
      <c r="V36" s="12">
        <f>IF(T$12=0,0,T36/T$12)</f>
        <v>0.21662512437045472</v>
      </c>
      <c r="W36" s="4"/>
      <c r="X36" s="4">
        <f>+P36-T36</f>
        <v>-211.19</v>
      </c>
      <c r="Y36" s="4"/>
      <c r="Z36" s="12">
        <f>IF(T36=0,0,X36/T36)</f>
        <v>-1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125</v>
      </c>
      <c r="C38" s="26"/>
      <c r="D38" s="33">
        <f>+D34-D36</f>
        <v>0</v>
      </c>
      <c r="E38" s="13"/>
      <c r="F38" s="31">
        <f>IF(D$12=0,0,D38/D$12)</f>
        <v>0</v>
      </c>
      <c r="G38" s="13"/>
      <c r="H38" s="33">
        <f>+H34-H36</f>
        <v>-1855.84</v>
      </c>
      <c r="I38" s="13"/>
      <c r="J38" s="31">
        <f>IF(H$12=0,0,H38/H$12)</f>
        <v>0</v>
      </c>
      <c r="K38" s="15"/>
      <c r="L38" s="33">
        <f>D38-H38</f>
        <v>1855.84</v>
      </c>
      <c r="M38" s="15"/>
      <c r="N38" s="31">
        <f>IF(H38=0,0,L38/H38)</f>
        <v>-1</v>
      </c>
      <c r="O38" s="25"/>
      <c r="P38" s="33">
        <f>+P34-P36</f>
        <v>-129.16999999999999</v>
      </c>
      <c r="Q38" s="13"/>
      <c r="R38" s="31">
        <f>IF(P$12=0,0,P38/P$12)</f>
        <v>0</v>
      </c>
      <c r="S38" s="13"/>
      <c r="T38" s="33">
        <f>+T34-T36</f>
        <v>-7859.079999999999</v>
      </c>
      <c r="U38" s="13"/>
      <c r="V38" s="31">
        <f>IF(T$12=0,0,T38/T$12)</f>
        <v>-8.0613389953944452</v>
      </c>
      <c r="W38" s="15"/>
      <c r="X38" s="33">
        <f>P38-T38</f>
        <v>7729.9099999999989</v>
      </c>
      <c r="Y38" s="15"/>
      <c r="Z38" s="31">
        <f>IF(T38=0,0,X38/T38)</f>
        <v>-0.98356423398158566</v>
      </c>
    </row>
    <row r="39" spans="1:26" ht="15.75" thickTop="1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6" t="s">
        <v>293</v>
      </c>
      <c r="C41" s="26"/>
      <c r="D41" s="34">
        <f>SUM(D38:D40)</f>
        <v>0</v>
      </c>
      <c r="E41" s="13"/>
      <c r="F41" s="30">
        <f>IF(D$12=0,0,D41/D$12)</f>
        <v>0</v>
      </c>
      <c r="G41" s="13"/>
      <c r="H41" s="34">
        <f>SUM(H38:H40)</f>
        <v>-1855.84</v>
      </c>
      <c r="I41" s="13"/>
      <c r="J41" s="30">
        <f>IF(H$12=0,0,H41/H$12)</f>
        <v>0</v>
      </c>
      <c r="K41" s="15"/>
      <c r="L41" s="34">
        <f>+D41-H41</f>
        <v>1855.84</v>
      </c>
      <c r="M41" s="15"/>
      <c r="N41" s="30">
        <f>IF(H41=0,0,L41/H41)</f>
        <v>-1</v>
      </c>
      <c r="O41" s="25"/>
      <c r="P41" s="34">
        <f>SUM(P38:P40)</f>
        <v>-129.16999999999999</v>
      </c>
      <c r="Q41" s="13"/>
      <c r="R41" s="30">
        <f>IF(P$12=0,0,P41/P$12)</f>
        <v>0</v>
      </c>
      <c r="S41" s="13"/>
      <c r="T41" s="34">
        <f>SUM(T38:T40)</f>
        <v>-7859.079999999999</v>
      </c>
      <c r="U41" s="13"/>
      <c r="V41" s="30">
        <f>IF(T$12=0,0,T41/T$12)</f>
        <v>-8.0613389953944452</v>
      </c>
      <c r="W41" s="15"/>
      <c r="X41" s="34">
        <f>+P41-T41</f>
        <v>7729.9099999999989</v>
      </c>
      <c r="Y41" s="15"/>
      <c r="Z41" s="30">
        <f>IF(T41=0,0,X41/T41)</f>
        <v>-0.98356423398158566</v>
      </c>
    </row>
    <row r="42" spans="1:26" ht="15.75" thickTop="1" x14ac:dyDescent="0.25">
      <c r="A42" s="9"/>
      <c r="C42" s="9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1">
        <v>44517.967041516204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7" t="s">
        <v>56</v>
      </c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8"/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217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88464.95</v>
      </c>
      <c r="E12" s="4"/>
      <c r="F12" s="12"/>
      <c r="G12" s="4"/>
      <c r="H12" s="4">
        <f>SUM(OSRRefH13x_0)</f>
        <v>13289.61</v>
      </c>
      <c r="I12" s="4"/>
      <c r="J12" s="12"/>
      <c r="K12" s="4"/>
      <c r="L12" s="4">
        <f t="shared" ref="L12:L14" si="0">+D12-H12</f>
        <v>75175.34</v>
      </c>
      <c r="M12" s="4"/>
      <c r="N12" s="12">
        <f t="shared" ref="N12:N14" si="1">IF(H12=0,0,L12/H12)</f>
        <v>5.6567002342431412</v>
      </c>
      <c r="O12" s="10"/>
      <c r="P12" s="4">
        <f>SUM(OSRRefP13x_0)</f>
        <v>209397.47</v>
      </c>
      <c r="Q12" s="4"/>
      <c r="R12" s="12"/>
      <c r="S12" s="4"/>
      <c r="T12" s="4">
        <f>SUM(OSRRefT13x_0)</f>
        <v>26686.2</v>
      </c>
      <c r="U12" s="4"/>
      <c r="V12" s="12"/>
      <c r="W12" s="4"/>
      <c r="X12" s="4">
        <f t="shared" ref="X12:X14" si="2">+P12-T12</f>
        <v>182711.27</v>
      </c>
      <c r="Y12" s="4"/>
      <c r="Z12" s="12">
        <f t="shared" ref="Z12:Z14" si="3">IF(T12=0,0,X12/T12)</f>
        <v>6.8466574484190321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--32696.1</f>
        <v>32696.1</v>
      </c>
      <c r="E13" s="2"/>
      <c r="F13" s="19"/>
      <c r="G13" s="2"/>
      <c r="H13" s="2">
        <f>--6097.26</f>
        <v>6097.26</v>
      </c>
      <c r="I13" s="2"/>
      <c r="J13" s="19"/>
      <c r="K13" s="2"/>
      <c r="L13" s="2">
        <f t="shared" si="0"/>
        <v>26598.839999999997</v>
      </c>
      <c r="M13" s="2"/>
      <c r="N13" s="19">
        <f t="shared" si="1"/>
        <v>4.3624250893024072</v>
      </c>
      <c r="O13" s="11"/>
      <c r="P13" s="2">
        <f>--86402.06</f>
        <v>86402.06</v>
      </c>
      <c r="Q13" s="2"/>
      <c r="R13" s="19"/>
      <c r="S13" s="2"/>
      <c r="T13" s="2">
        <f>--12749.94</f>
        <v>12749.94</v>
      </c>
      <c r="U13" s="2"/>
      <c r="V13" s="19"/>
      <c r="W13" s="2"/>
      <c r="X13" s="2">
        <f t="shared" si="2"/>
        <v>73652.12</v>
      </c>
      <c r="Y13" s="2"/>
      <c r="Z13" s="19">
        <f t="shared" si="3"/>
        <v>5.7766640470464949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--55768.85</f>
        <v>55768.85</v>
      </c>
      <c r="E14" s="2"/>
      <c r="F14" s="19"/>
      <c r="G14" s="2"/>
      <c r="H14" s="2">
        <f>--7192.35</f>
        <v>7192.35</v>
      </c>
      <c r="I14" s="2"/>
      <c r="J14" s="19"/>
      <c r="K14" s="2"/>
      <c r="L14" s="2">
        <f t="shared" si="0"/>
        <v>48576.5</v>
      </c>
      <c r="M14" s="2"/>
      <c r="N14" s="19">
        <f t="shared" si="1"/>
        <v>6.7539121427627959</v>
      </c>
      <c r="O14" s="11"/>
      <c r="P14" s="2">
        <f>--122995.41</f>
        <v>122995.41</v>
      </c>
      <c r="Q14" s="2"/>
      <c r="R14" s="19"/>
      <c r="S14" s="2"/>
      <c r="T14" s="2">
        <f>--13936.26</f>
        <v>13936.26</v>
      </c>
      <c r="U14" s="2"/>
      <c r="V14" s="19"/>
      <c r="W14" s="2"/>
      <c r="X14" s="2">
        <f t="shared" si="2"/>
        <v>109059.15000000001</v>
      </c>
      <c r="Y14" s="2"/>
      <c r="Z14" s="19">
        <f t="shared" si="3"/>
        <v>7.825567978783404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256</v>
      </c>
      <c r="C16" s="10"/>
      <c r="D16" s="4">
        <f>SUM(OSRRefD16x_0)</f>
        <v>30709.83</v>
      </c>
      <c r="E16" s="4"/>
      <c r="F16" s="12">
        <f t="shared" ref="F16:F18" si="4">IF(D$12=0,0,D16/D$12)</f>
        <v>0.34714121242367746</v>
      </c>
      <c r="G16" s="4"/>
      <c r="H16" s="4">
        <f>SUM(OSRRefH16x_0)</f>
        <v>5796.07</v>
      </c>
      <c r="I16" s="4"/>
      <c r="J16" s="12">
        <f t="shared" ref="J16:J18" si="5">IF(H$12=0,0,H16/H$12)</f>
        <v>0.43613544716511615</v>
      </c>
      <c r="K16" s="4"/>
      <c r="L16" s="4">
        <f t="shared" ref="L16:L18" si="6">+D16-H16</f>
        <v>24913.760000000002</v>
      </c>
      <c r="M16" s="4"/>
      <c r="N16" s="12">
        <f t="shared" ref="N16:N18" si="7">IF(H16=0,0,L16/H16)</f>
        <v>4.2983883907544254</v>
      </c>
      <c r="O16" s="10"/>
      <c r="P16" s="4">
        <f>SUM(OSRRefP16x_0)</f>
        <v>71943.94</v>
      </c>
      <c r="Q16" s="4"/>
      <c r="R16" s="12">
        <f t="shared" ref="R16:R18" si="8">IF(P$12=0,0,P16/P$12)</f>
        <v>0.3435759753926349</v>
      </c>
      <c r="S16" s="4"/>
      <c r="T16" s="4">
        <f>SUM(OSRRefT16x_0)</f>
        <v>11812.47</v>
      </c>
      <c r="U16" s="4"/>
      <c r="V16" s="12">
        <f t="shared" ref="V16:V18" si="9">IF(T$12=0,0,T16/T$12)</f>
        <v>0.44264338871776421</v>
      </c>
      <c r="W16" s="4"/>
      <c r="X16" s="4">
        <f t="shared" ref="X16:X18" si="10">+P16-T16</f>
        <v>60131.47</v>
      </c>
      <c r="Y16" s="4"/>
      <c r="Z16" s="12">
        <f t="shared" ref="Z16:Z18" si="11">IF(T16=0,0,X16/T16)</f>
        <v>5.0905077430884482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30709.83</v>
      </c>
      <c r="E17" s="2"/>
      <c r="F17" s="19">
        <f t="shared" si="4"/>
        <v>0.34714121242367746</v>
      </c>
      <c r="G17" s="2"/>
      <c r="H17" s="2">
        <v>4199.07</v>
      </c>
      <c r="I17" s="2"/>
      <c r="J17" s="19">
        <f t="shared" si="5"/>
        <v>0.31596638276066791</v>
      </c>
      <c r="K17" s="2"/>
      <c r="L17" s="2">
        <f t="shared" si="6"/>
        <v>26510.760000000002</v>
      </c>
      <c r="M17" s="2"/>
      <c r="N17" s="19">
        <f t="shared" si="7"/>
        <v>6.3134836999621351</v>
      </c>
      <c r="O17" s="11"/>
      <c r="P17" s="2">
        <v>80204.94</v>
      </c>
      <c r="Q17" s="2"/>
      <c r="R17" s="19">
        <f t="shared" si="8"/>
        <v>0.38302726389196584</v>
      </c>
      <c r="S17" s="2"/>
      <c r="T17" s="2">
        <v>9629.41</v>
      </c>
      <c r="U17" s="2"/>
      <c r="V17" s="19">
        <f t="shared" si="9"/>
        <v>0.36083856075424747</v>
      </c>
      <c r="W17" s="2"/>
      <c r="X17" s="2">
        <f t="shared" si="10"/>
        <v>70575.53</v>
      </c>
      <c r="Y17" s="2"/>
      <c r="Z17" s="19">
        <f t="shared" si="11"/>
        <v>7.3291645074828056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4"/>
        <v>0</v>
      </c>
      <c r="G18" s="2"/>
      <c r="H18" s="2">
        <v>1597</v>
      </c>
      <c r="I18" s="2"/>
      <c r="J18" s="19">
        <f t="shared" si="5"/>
        <v>0.12016906440444829</v>
      </c>
      <c r="K18" s="2"/>
      <c r="L18" s="2">
        <f t="shared" si="6"/>
        <v>-1597</v>
      </c>
      <c r="M18" s="2"/>
      <c r="N18" s="19">
        <f t="shared" si="7"/>
        <v>-1</v>
      </c>
      <c r="O18" s="11"/>
      <c r="P18" s="2">
        <v>-8261</v>
      </c>
      <c r="Q18" s="2"/>
      <c r="R18" s="19">
        <f t="shared" si="8"/>
        <v>-3.945128849933096E-2</v>
      </c>
      <c r="S18" s="2"/>
      <c r="T18" s="2">
        <v>2183.06</v>
      </c>
      <c r="U18" s="2"/>
      <c r="V18" s="19">
        <f t="shared" si="9"/>
        <v>8.1804827963516721E-2</v>
      </c>
      <c r="W18" s="2"/>
      <c r="X18" s="2">
        <f t="shared" si="10"/>
        <v>-10444.06</v>
      </c>
      <c r="Y18" s="2"/>
      <c r="Z18" s="19">
        <f t="shared" si="11"/>
        <v>-4.7841378615338099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107</v>
      </c>
      <c r="C20" s="26"/>
      <c r="D20" s="22">
        <f>D12-D16</f>
        <v>57755.119999999995</v>
      </c>
      <c r="E20" s="13"/>
      <c r="F20" s="20">
        <f>IF(D$12=0,0,D20/D$12)</f>
        <v>0.65285878757632254</v>
      </c>
      <c r="G20" s="13"/>
      <c r="H20" s="22">
        <f>H12-H16</f>
        <v>7493.5400000000009</v>
      </c>
      <c r="I20" s="13"/>
      <c r="J20" s="20">
        <f>IF(H$12=0,0,H20/H$12)</f>
        <v>0.56386455283488379</v>
      </c>
      <c r="K20" s="15"/>
      <c r="L20" s="22">
        <f>+D20-H20</f>
        <v>50261.579999999994</v>
      </c>
      <c r="M20" s="15"/>
      <c r="N20" s="20">
        <f>IF(H20=0,0,L20/H20)</f>
        <v>6.7073212393608346</v>
      </c>
      <c r="O20" s="25"/>
      <c r="P20" s="22">
        <f>P12-P16</f>
        <v>137453.53</v>
      </c>
      <c r="Q20" s="13"/>
      <c r="R20" s="20">
        <f>IF(P$12=0,0,P20/P$12)</f>
        <v>0.65642402460736515</v>
      </c>
      <c r="S20" s="13"/>
      <c r="T20" s="22">
        <f>T12-T16</f>
        <v>14873.730000000001</v>
      </c>
      <c r="U20" s="13"/>
      <c r="V20" s="20">
        <f>IF(T$12=0,0,T20/T$12)</f>
        <v>0.55735661128223579</v>
      </c>
      <c r="W20" s="15"/>
      <c r="X20" s="22">
        <f>+P20-T20</f>
        <v>122579.8</v>
      </c>
      <c r="Y20" s="15"/>
      <c r="Z20" s="20">
        <f>IF(T20=0,0,X20/T20)</f>
        <v>8.2413624558197576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294</v>
      </c>
      <c r="C22" s="10"/>
      <c r="D22" s="21">
        <f>SUM(OSRRefD22x_0)</f>
        <v>89762.05</v>
      </c>
      <c r="E22" s="21"/>
      <c r="F22" s="36">
        <f t="shared" ref="F22:F31" si="12">IF(D$12=0,0,D22/D$12)</f>
        <v>1.014662304110272</v>
      </c>
      <c r="G22" s="21"/>
      <c r="H22" s="21">
        <f>SUM(OSRRefH22x_0)</f>
        <v>75869.480000000025</v>
      </c>
      <c r="I22" s="21"/>
      <c r="J22" s="36">
        <f t="shared" ref="J22:J31" si="13">IF(H$12=0,0,H22/H$12)</f>
        <v>5.7089320153112109</v>
      </c>
      <c r="K22" s="4"/>
      <c r="L22" s="21">
        <f t="shared" ref="L22:L31" si="14">+D22-H22</f>
        <v>13892.569999999978</v>
      </c>
      <c r="M22" s="4"/>
      <c r="N22" s="36">
        <f t="shared" ref="N22:N31" si="15">IF(H22=0,0,L22/H22)</f>
        <v>0.18311144349480152</v>
      </c>
      <c r="O22" s="10"/>
      <c r="P22" s="21">
        <f>SUM(OSRRefP22x_0)</f>
        <v>305546.3</v>
      </c>
      <c r="Q22" s="21"/>
      <c r="R22" s="36">
        <f t="shared" ref="R22:R31" si="16">IF(P$12=0,0,P22/P$12)</f>
        <v>1.4591690147927765</v>
      </c>
      <c r="S22" s="21"/>
      <c r="T22" s="21">
        <f>SUM(OSRRefT22x_0)</f>
        <v>265913.90999999992</v>
      </c>
      <c r="U22" s="21"/>
      <c r="V22" s="36">
        <f t="shared" ref="V22:V31" si="17">IF(T$12=0,0,T22/T$12)</f>
        <v>9.9644726487847617</v>
      </c>
      <c r="W22" s="4"/>
      <c r="X22" s="21">
        <f t="shared" ref="X22:X31" si="18">+P22-T22</f>
        <v>39632.390000000072</v>
      </c>
      <c r="Y22" s="4"/>
      <c r="Z22" s="36">
        <f t="shared" ref="Z22:Z31" si="19">IF(T22=0,0,X22/T22)</f>
        <v>0.14904218436711372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16720.509999999998</v>
      </c>
      <c r="E23" s="1"/>
      <c r="F23" s="5">
        <f t="shared" si="12"/>
        <v>0.18900717176689749</v>
      </c>
      <c r="G23" s="1"/>
      <c r="H23" s="1">
        <f>SUM(OSRRefH22_0x_0)</f>
        <v>15447.64</v>
      </c>
      <c r="I23" s="1"/>
      <c r="J23" s="5">
        <f t="shared" si="13"/>
        <v>1.1623847501920672</v>
      </c>
      <c r="K23" s="1"/>
      <c r="L23" s="1">
        <f t="shared" si="14"/>
        <v>1272.869999999999</v>
      </c>
      <c r="M23" s="1"/>
      <c r="N23" s="5">
        <f t="shared" si="15"/>
        <v>8.2398994280032362E-2</v>
      </c>
      <c r="O23" s="14"/>
      <c r="P23" s="1">
        <f>SUM(OSRRefP22_0x_0)</f>
        <v>48861.61</v>
      </c>
      <c r="Q23" s="1"/>
      <c r="R23" s="5">
        <f t="shared" si="16"/>
        <v>0.23334384126035526</v>
      </c>
      <c r="S23" s="1"/>
      <c r="T23" s="1">
        <f>SUM(OSRRefT22_0x_0)</f>
        <v>54642.130000000005</v>
      </c>
      <c r="U23" s="1"/>
      <c r="V23" s="5">
        <f t="shared" si="17"/>
        <v>2.0475800226334213</v>
      </c>
      <c r="W23" s="1"/>
      <c r="X23" s="1">
        <f t="shared" si="18"/>
        <v>-5780.5200000000041</v>
      </c>
      <c r="Y23" s="1"/>
      <c r="Z23" s="5">
        <f t="shared" si="19"/>
        <v>-0.10578870186795433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6">
        <v>2687.05</v>
      </c>
      <c r="E24" s="2"/>
      <c r="F24" s="7">
        <f t="shared" si="12"/>
        <v>3.0374176439369495E-2</v>
      </c>
      <c r="G24" s="2"/>
      <c r="H24" s="6">
        <v>2728.37</v>
      </c>
      <c r="I24" s="2"/>
      <c r="J24" s="7">
        <f t="shared" si="13"/>
        <v>0.20530098324932031</v>
      </c>
      <c r="K24" s="2"/>
      <c r="L24" s="6">
        <f t="shared" si="14"/>
        <v>-41.319999999999709</v>
      </c>
      <c r="M24" s="2"/>
      <c r="N24" s="7">
        <f t="shared" si="15"/>
        <v>-1.5144573499928423E-2</v>
      </c>
      <c r="O24" s="11"/>
      <c r="P24" s="6">
        <v>6824.16</v>
      </c>
      <c r="Q24" s="2"/>
      <c r="R24" s="7">
        <f t="shared" si="16"/>
        <v>3.2589505498800915E-2</v>
      </c>
      <c r="S24" s="2"/>
      <c r="T24" s="6">
        <v>6851.78</v>
      </c>
      <c r="U24" s="2"/>
      <c r="V24" s="7">
        <f t="shared" si="17"/>
        <v>0.25675367793091558</v>
      </c>
      <c r="W24" s="2"/>
      <c r="X24" s="6">
        <f t="shared" si="18"/>
        <v>-27.619999999999891</v>
      </c>
      <c r="Y24" s="2"/>
      <c r="Z24" s="7">
        <f t="shared" si="19"/>
        <v>-4.0310692987807388E-3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6">
        <v>1584.55</v>
      </c>
      <c r="E25" s="2"/>
      <c r="F25" s="7">
        <f t="shared" si="12"/>
        <v>1.7911613582554445E-2</v>
      </c>
      <c r="G25" s="2"/>
      <c r="H25" s="6">
        <v>620.08000000000004</v>
      </c>
      <c r="I25" s="2"/>
      <c r="J25" s="7">
        <f t="shared" si="13"/>
        <v>4.6659006547219974E-2</v>
      </c>
      <c r="K25" s="2"/>
      <c r="L25" s="6">
        <f t="shared" si="14"/>
        <v>964.46999999999991</v>
      </c>
      <c r="M25" s="2"/>
      <c r="N25" s="7">
        <f t="shared" si="15"/>
        <v>1.5553960779254288</v>
      </c>
      <c r="O25" s="11"/>
      <c r="P25" s="6">
        <v>3790.92</v>
      </c>
      <c r="Q25" s="2"/>
      <c r="R25" s="7">
        <f t="shared" si="16"/>
        <v>1.8103943662738618E-2</v>
      </c>
      <c r="S25" s="2"/>
      <c r="T25" s="6">
        <v>2428.75</v>
      </c>
      <c r="U25" s="2"/>
      <c r="V25" s="7">
        <f t="shared" si="17"/>
        <v>9.1011459106204701E-2</v>
      </c>
      <c r="W25" s="2"/>
      <c r="X25" s="6">
        <f t="shared" si="18"/>
        <v>1362.17</v>
      </c>
      <c r="Y25" s="2"/>
      <c r="Z25" s="7">
        <f t="shared" si="19"/>
        <v>0.56085229027277406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6">
        <v>7197.43</v>
      </c>
      <c r="E26" s="2"/>
      <c r="F26" s="7">
        <f t="shared" si="12"/>
        <v>8.1359114541973976E-2</v>
      </c>
      <c r="G26" s="2"/>
      <c r="H26" s="6">
        <v>6712.24</v>
      </c>
      <c r="I26" s="2"/>
      <c r="J26" s="7">
        <f t="shared" si="13"/>
        <v>0.50507426478278894</v>
      </c>
      <c r="K26" s="2"/>
      <c r="L26" s="6">
        <f t="shared" si="14"/>
        <v>485.19000000000051</v>
      </c>
      <c r="M26" s="2"/>
      <c r="N26" s="7">
        <f t="shared" si="15"/>
        <v>7.2284364087100664E-2</v>
      </c>
      <c r="O26" s="11"/>
      <c r="P26" s="6">
        <v>22910.7</v>
      </c>
      <c r="Q26" s="2"/>
      <c r="R26" s="7">
        <f t="shared" si="16"/>
        <v>0.10941249672214283</v>
      </c>
      <c r="S26" s="2"/>
      <c r="T26" s="6">
        <v>27506.91</v>
      </c>
      <c r="U26" s="2"/>
      <c r="V26" s="7">
        <f t="shared" si="17"/>
        <v>1.0307540976234908</v>
      </c>
      <c r="W26" s="2"/>
      <c r="X26" s="6">
        <f t="shared" si="18"/>
        <v>-4596.2099999999991</v>
      </c>
      <c r="Y26" s="2"/>
      <c r="Z26" s="7">
        <f t="shared" si="19"/>
        <v>-0.16709292319638952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114.44</v>
      </c>
      <c r="E27" s="2"/>
      <c r="F27" s="7">
        <f t="shared" si="12"/>
        <v>1.2936196764933457E-3</v>
      </c>
      <c r="G27" s="2"/>
      <c r="H27" s="6">
        <v>52.33</v>
      </c>
      <c r="I27" s="2"/>
      <c r="J27" s="7">
        <f t="shared" si="13"/>
        <v>3.9376625800155154E-3</v>
      </c>
      <c r="K27" s="2"/>
      <c r="L27" s="6">
        <f t="shared" si="14"/>
        <v>62.11</v>
      </c>
      <c r="M27" s="2"/>
      <c r="N27" s="7">
        <f t="shared" si="15"/>
        <v>1.1868908847697306</v>
      </c>
      <c r="O27" s="11"/>
      <c r="P27" s="6">
        <v>273.8</v>
      </c>
      <c r="Q27" s="2"/>
      <c r="R27" s="7">
        <f t="shared" si="16"/>
        <v>1.3075611658536275E-3</v>
      </c>
      <c r="S27" s="2"/>
      <c r="T27" s="6">
        <v>218.51</v>
      </c>
      <c r="U27" s="2"/>
      <c r="V27" s="7">
        <f t="shared" si="17"/>
        <v>8.1881271968283226E-3</v>
      </c>
      <c r="W27" s="2"/>
      <c r="X27" s="6">
        <f t="shared" si="18"/>
        <v>55.29000000000002</v>
      </c>
      <c r="Y27" s="2"/>
      <c r="Z27" s="7">
        <f t="shared" si="19"/>
        <v>0.25303189785364527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6">
        <v>1305.92</v>
      </c>
      <c r="E28" s="2"/>
      <c r="F28" s="7">
        <f t="shared" si="12"/>
        <v>1.4762004613126442E-2</v>
      </c>
      <c r="G28" s="2"/>
      <c r="H28" s="6">
        <v>1441.26</v>
      </c>
      <c r="I28" s="2"/>
      <c r="J28" s="7">
        <f t="shared" si="13"/>
        <v>0.10845013510554485</v>
      </c>
      <c r="K28" s="2"/>
      <c r="L28" s="6">
        <f t="shared" si="14"/>
        <v>-135.33999999999992</v>
      </c>
      <c r="M28" s="2"/>
      <c r="N28" s="7">
        <f t="shared" si="15"/>
        <v>-9.3903945159096849E-2</v>
      </c>
      <c r="O28" s="11"/>
      <c r="P28" s="6">
        <v>3917.75</v>
      </c>
      <c r="Q28" s="2"/>
      <c r="R28" s="7">
        <f t="shared" si="16"/>
        <v>1.8709633884306243E-2</v>
      </c>
      <c r="S28" s="2"/>
      <c r="T28" s="6">
        <v>5581.11</v>
      </c>
      <c r="U28" s="2"/>
      <c r="V28" s="7">
        <f t="shared" si="17"/>
        <v>0.20913843109921981</v>
      </c>
      <c r="W28" s="2"/>
      <c r="X28" s="6">
        <f t="shared" si="18"/>
        <v>-1663.3599999999997</v>
      </c>
      <c r="Y28" s="2"/>
      <c r="Z28" s="7">
        <f t="shared" si="19"/>
        <v>-0.29803390364999072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>
        <v>1713.81</v>
      </c>
      <c r="E29" s="2"/>
      <c r="F29" s="7">
        <f t="shared" si="12"/>
        <v>1.9372757233231917E-2</v>
      </c>
      <c r="G29" s="2"/>
      <c r="H29" s="6">
        <v>2066.79</v>
      </c>
      <c r="I29" s="2"/>
      <c r="J29" s="7">
        <f t="shared" si="13"/>
        <v>0.15551923645614882</v>
      </c>
      <c r="K29" s="2"/>
      <c r="L29" s="6">
        <f t="shared" si="14"/>
        <v>-352.98</v>
      </c>
      <c r="M29" s="2"/>
      <c r="N29" s="7">
        <f t="shared" si="15"/>
        <v>-0.17078658209106878</v>
      </c>
      <c r="O29" s="11"/>
      <c r="P29" s="6">
        <v>4673.3500000000004</v>
      </c>
      <c r="Q29" s="2"/>
      <c r="R29" s="7">
        <f t="shared" si="16"/>
        <v>2.231808244865614E-2</v>
      </c>
      <c r="S29" s="2"/>
      <c r="T29" s="6">
        <v>6060.5</v>
      </c>
      <c r="U29" s="2"/>
      <c r="V29" s="7">
        <f t="shared" si="17"/>
        <v>0.22710239749383576</v>
      </c>
      <c r="W29" s="2"/>
      <c r="X29" s="6">
        <f t="shared" si="18"/>
        <v>-1387.1499999999996</v>
      </c>
      <c r="Y29" s="2"/>
      <c r="Z29" s="7">
        <f t="shared" si="19"/>
        <v>-0.2288837554657206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>
        <v>1115.55</v>
      </c>
      <c r="E30" s="2"/>
      <c r="F30" s="7">
        <f t="shared" si="12"/>
        <v>1.2610078906956935E-2</v>
      </c>
      <c r="G30" s="2"/>
      <c r="H30" s="6">
        <v>1286.28</v>
      </c>
      <c r="I30" s="2"/>
      <c r="J30" s="7">
        <f t="shared" si="13"/>
        <v>9.6788393338856443E-2</v>
      </c>
      <c r="K30" s="2"/>
      <c r="L30" s="6">
        <f t="shared" si="14"/>
        <v>-170.73000000000002</v>
      </c>
      <c r="M30" s="2"/>
      <c r="N30" s="7">
        <f t="shared" si="15"/>
        <v>-0.13273159809683741</v>
      </c>
      <c r="O30" s="11"/>
      <c r="P30" s="6">
        <v>3824.74</v>
      </c>
      <c r="Q30" s="2"/>
      <c r="R30" s="7">
        <f t="shared" si="16"/>
        <v>1.8265454687680802E-2</v>
      </c>
      <c r="S30" s="2"/>
      <c r="T30" s="6">
        <v>3869.56</v>
      </c>
      <c r="U30" s="2"/>
      <c r="V30" s="7">
        <f t="shared" si="17"/>
        <v>0.14500228582563271</v>
      </c>
      <c r="W30" s="2"/>
      <c r="X30" s="6">
        <f t="shared" si="18"/>
        <v>-44.820000000000164</v>
      </c>
      <c r="Y30" s="2"/>
      <c r="Z30" s="7">
        <f t="shared" si="19"/>
        <v>-1.1582712246353634E-2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6">
        <v>1001.76</v>
      </c>
      <c r="E31" s="2"/>
      <c r="F31" s="7">
        <f t="shared" si="12"/>
        <v>1.1323806773190965E-2</v>
      </c>
      <c r="G31" s="2"/>
      <c r="H31" s="6">
        <v>540.29</v>
      </c>
      <c r="I31" s="2"/>
      <c r="J31" s="7">
        <f t="shared" si="13"/>
        <v>4.0655068132172421E-2</v>
      </c>
      <c r="K31" s="2"/>
      <c r="L31" s="6">
        <f t="shared" si="14"/>
        <v>461.47</v>
      </c>
      <c r="M31" s="2"/>
      <c r="N31" s="7">
        <f t="shared" si="15"/>
        <v>0.85411538247977947</v>
      </c>
      <c r="O31" s="11"/>
      <c r="P31" s="6">
        <v>2646.19</v>
      </c>
      <c r="Q31" s="2"/>
      <c r="R31" s="7">
        <f t="shared" si="16"/>
        <v>1.263716319017608E-2</v>
      </c>
      <c r="S31" s="2"/>
      <c r="T31" s="6">
        <v>2125.0100000000002</v>
      </c>
      <c r="U31" s="2"/>
      <c r="V31" s="7">
        <f t="shared" si="17"/>
        <v>7.9629546357293288E-2</v>
      </c>
      <c r="W31" s="2"/>
      <c r="X31" s="6">
        <f t="shared" si="18"/>
        <v>521.17999999999984</v>
      </c>
      <c r="Y31" s="2"/>
      <c r="Z31" s="7">
        <f t="shared" si="19"/>
        <v>0.24526002230577729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34206.479999999996</v>
      </c>
      <c r="E32" s="1"/>
      <c r="F32" s="5">
        <f t="shared" ref="F32:F36" si="20">IF(D$12=0,0,D32/D$12)</f>
        <v>0.38666703592778834</v>
      </c>
      <c r="G32" s="1"/>
      <c r="H32" s="1">
        <f>SUM(OSRRefH22_1x_0)</f>
        <v>21241.5</v>
      </c>
      <c r="I32" s="1"/>
      <c r="J32" s="5">
        <f t="shared" ref="J32:J36" si="21">IF(H$12=0,0,H32/H$12)</f>
        <v>1.5983539020332425</v>
      </c>
      <c r="K32" s="1"/>
      <c r="L32" s="1">
        <f t="shared" ref="L32:L36" si="22">+D32-H32</f>
        <v>12964.979999999996</v>
      </c>
      <c r="M32" s="1"/>
      <c r="N32" s="5">
        <f t="shared" ref="N32:N36" si="23">IF(H32=0,0,L32/H32)</f>
        <v>0.61036085022244169</v>
      </c>
      <c r="O32" s="14"/>
      <c r="P32" s="1">
        <f>SUM(OSRRefP22_1x_0)</f>
        <v>101149.74</v>
      </c>
      <c r="Q32" s="1"/>
      <c r="R32" s="5">
        <f t="shared" ref="R32:R36" si="24">IF(P$12=0,0,P32/P$12)</f>
        <v>0.48305139503356942</v>
      </c>
      <c r="S32" s="1"/>
      <c r="T32" s="1">
        <f>SUM(OSRRefT22_1x_0)</f>
        <v>77213.710000000006</v>
      </c>
      <c r="U32" s="1"/>
      <c r="V32" s="5">
        <f t="shared" ref="V32:V36" si="25">IF(T$12=0,0,T32/T$12)</f>
        <v>2.8933947133724547</v>
      </c>
      <c r="W32" s="1"/>
      <c r="X32" s="1">
        <f t="shared" ref="X32:X36" si="26">+P32-T32</f>
        <v>23936.03</v>
      </c>
      <c r="Y32" s="1"/>
      <c r="Z32" s="5">
        <f t="shared" ref="Z32:Z36" si="27">IF(T32=0,0,X32/T32)</f>
        <v>0.3099971494699581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>
        <v>10929.58</v>
      </c>
      <c r="E33" s="2"/>
      <c r="F33" s="7">
        <f t="shared" si="20"/>
        <v>0.12354700929577195</v>
      </c>
      <c r="G33" s="2"/>
      <c r="H33" s="6">
        <v>16649.23</v>
      </c>
      <c r="I33" s="2"/>
      <c r="J33" s="7">
        <f t="shared" si="21"/>
        <v>1.252800496026595</v>
      </c>
      <c r="K33" s="2"/>
      <c r="L33" s="6">
        <f t="shared" si="22"/>
        <v>-5719.65</v>
      </c>
      <c r="M33" s="2"/>
      <c r="N33" s="7">
        <f t="shared" si="23"/>
        <v>-0.34353840988442108</v>
      </c>
      <c r="O33" s="11"/>
      <c r="P33" s="6">
        <v>40972.89</v>
      </c>
      <c r="Q33" s="2"/>
      <c r="R33" s="7">
        <f t="shared" si="24"/>
        <v>0.19567041569317908</v>
      </c>
      <c r="S33" s="2"/>
      <c r="T33" s="6">
        <v>59670.07</v>
      </c>
      <c r="U33" s="2"/>
      <c r="V33" s="7">
        <f t="shared" si="25"/>
        <v>2.2359897624989693</v>
      </c>
      <c r="W33" s="2"/>
      <c r="X33" s="6">
        <f t="shared" si="26"/>
        <v>-18697.18</v>
      </c>
      <c r="Y33" s="2"/>
      <c r="Z33" s="7">
        <f t="shared" si="27"/>
        <v>-0.31334268587249858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>
        <v>6406.54</v>
      </c>
      <c r="E34" s="2"/>
      <c r="F34" s="7">
        <f t="shared" si="20"/>
        <v>7.2418963668662004E-2</v>
      </c>
      <c r="G34" s="2"/>
      <c r="H34" s="6">
        <v>4641.7</v>
      </c>
      <c r="I34" s="2"/>
      <c r="J34" s="7">
        <f t="shared" si="21"/>
        <v>0.34927285300321076</v>
      </c>
      <c r="K34" s="2"/>
      <c r="L34" s="6">
        <f t="shared" si="22"/>
        <v>1764.8400000000001</v>
      </c>
      <c r="M34" s="2"/>
      <c r="N34" s="7">
        <f t="shared" si="23"/>
        <v>0.38021414567938477</v>
      </c>
      <c r="O34" s="11"/>
      <c r="P34" s="6">
        <v>17770.13</v>
      </c>
      <c r="Q34" s="2"/>
      <c r="R34" s="7">
        <f t="shared" si="24"/>
        <v>8.4863155223413159E-2</v>
      </c>
      <c r="S34" s="2"/>
      <c r="T34" s="6">
        <v>15347.3</v>
      </c>
      <c r="U34" s="2"/>
      <c r="V34" s="7">
        <f t="shared" si="25"/>
        <v>0.575102487427959</v>
      </c>
      <c r="W34" s="2"/>
      <c r="X34" s="6">
        <f t="shared" si="26"/>
        <v>2422.8300000000017</v>
      </c>
      <c r="Y34" s="2"/>
      <c r="Z34" s="7">
        <f t="shared" si="27"/>
        <v>0.15786685605937212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>
        <v>13475.55</v>
      </c>
      <c r="E35" s="2"/>
      <c r="F35" s="7">
        <f t="shared" si="20"/>
        <v>0.15232642984594463</v>
      </c>
      <c r="G35" s="2"/>
      <c r="H35" s="6">
        <v>704.86</v>
      </c>
      <c r="I35" s="2"/>
      <c r="J35" s="7">
        <f t="shared" si="21"/>
        <v>5.3038426259310843E-2</v>
      </c>
      <c r="K35" s="2"/>
      <c r="L35" s="6">
        <f t="shared" si="22"/>
        <v>12770.689999999999</v>
      </c>
      <c r="M35" s="2"/>
      <c r="N35" s="7">
        <f t="shared" si="23"/>
        <v>18.118051811707286</v>
      </c>
      <c r="O35" s="11"/>
      <c r="P35" s="6">
        <v>25623.45</v>
      </c>
      <c r="Q35" s="2"/>
      <c r="R35" s="7">
        <f t="shared" si="24"/>
        <v>0.12236752430676455</v>
      </c>
      <c r="S35" s="2"/>
      <c r="T35" s="6">
        <v>2126.63</v>
      </c>
      <c r="U35" s="2"/>
      <c r="V35" s="7">
        <f t="shared" si="25"/>
        <v>7.9690251890490213E-2</v>
      </c>
      <c r="W35" s="2"/>
      <c r="X35" s="6">
        <f t="shared" si="26"/>
        <v>23496.82</v>
      </c>
      <c r="Y35" s="2"/>
      <c r="Z35" s="7">
        <f t="shared" si="27"/>
        <v>11.048851939453501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>
        <v>3394.81</v>
      </c>
      <c r="E36" s="2"/>
      <c r="F36" s="7">
        <f t="shared" si="20"/>
        <v>3.8374633117409775E-2</v>
      </c>
      <c r="G36" s="2"/>
      <c r="H36" s="6">
        <v>-754.29</v>
      </c>
      <c r="I36" s="2"/>
      <c r="J36" s="7">
        <f t="shared" si="21"/>
        <v>-5.6757873255874322E-2</v>
      </c>
      <c r="K36" s="2"/>
      <c r="L36" s="6">
        <f t="shared" si="22"/>
        <v>4149.1000000000004</v>
      </c>
      <c r="M36" s="2"/>
      <c r="N36" s="7">
        <f t="shared" si="23"/>
        <v>-5.5006695037717597</v>
      </c>
      <c r="O36" s="11"/>
      <c r="P36" s="6">
        <v>16783.27</v>
      </c>
      <c r="Q36" s="2"/>
      <c r="R36" s="7">
        <f t="shared" si="24"/>
        <v>8.0150299810212614E-2</v>
      </c>
      <c r="S36" s="2"/>
      <c r="T36" s="6">
        <v>69.709999999999994</v>
      </c>
      <c r="U36" s="2"/>
      <c r="V36" s="7">
        <f t="shared" si="25"/>
        <v>2.6122115550359357E-3</v>
      </c>
      <c r="W36" s="2"/>
      <c r="X36" s="6">
        <f t="shared" si="26"/>
        <v>16713.560000000001</v>
      </c>
      <c r="Y36" s="2"/>
      <c r="Z36" s="7">
        <f t="shared" si="27"/>
        <v>239.75842777219916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50.23</v>
      </c>
      <c r="E37" s="1"/>
      <c r="F37" s="5">
        <f t="shared" ref="F37:F45" si="28">IF(D$12=0,0,D37/D$12)</f>
        <v>5.6779549414768225E-4</v>
      </c>
      <c r="G37" s="1"/>
      <c r="H37" s="1">
        <f>SUM(OSRRefH22_2x_0)</f>
        <v>15.05</v>
      </c>
      <c r="I37" s="1"/>
      <c r="J37" s="5">
        <f t="shared" ref="J37:J45" si="29">IF(H$12=0,0,H37/H$12)</f>
        <v>1.1324636313631475E-3</v>
      </c>
      <c r="K37" s="1"/>
      <c r="L37" s="1">
        <f t="shared" ref="L37:L45" si="30">+D37-H37</f>
        <v>35.179999999999993</v>
      </c>
      <c r="M37" s="1"/>
      <c r="N37" s="5">
        <f t="shared" ref="N37:N45" si="31">IF(H37=0,0,L37/H37)</f>
        <v>2.337541528239202</v>
      </c>
      <c r="O37" s="14"/>
      <c r="P37" s="1">
        <f>SUM(OSRRefP22_2x_0)</f>
        <v>259.68</v>
      </c>
      <c r="Q37" s="1"/>
      <c r="R37" s="5">
        <f t="shared" ref="R37:R45" si="32">IF(P$12=0,0,P37/P$12)</f>
        <v>1.2401295965992331E-3</v>
      </c>
      <c r="S37" s="1"/>
      <c r="T37" s="1">
        <f>SUM(OSRRefT22_2x_0)</f>
        <v>110.63</v>
      </c>
      <c r="U37" s="1"/>
      <c r="V37" s="5">
        <f t="shared" ref="V37:V45" si="33">IF(T$12=0,0,T37/T$12)</f>
        <v>4.1455883565288424E-3</v>
      </c>
      <c r="W37" s="1"/>
      <c r="X37" s="1">
        <f t="shared" ref="X37:X45" si="34">+P37-T37</f>
        <v>149.05000000000001</v>
      </c>
      <c r="Y37" s="1"/>
      <c r="Z37" s="5">
        <f t="shared" ref="Z37:Z45" si="35">IF(T37=0,0,X37/T37)</f>
        <v>1.3472837385880865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6">
        <v>50.23</v>
      </c>
      <c r="E38" s="2"/>
      <c r="F38" s="7">
        <f t="shared" si="28"/>
        <v>5.6779549414768225E-4</v>
      </c>
      <c r="G38" s="2"/>
      <c r="H38" s="6">
        <v>15.05</v>
      </c>
      <c r="I38" s="2"/>
      <c r="J38" s="7">
        <f t="shared" si="29"/>
        <v>1.1324636313631475E-3</v>
      </c>
      <c r="K38" s="2"/>
      <c r="L38" s="6">
        <f t="shared" si="30"/>
        <v>35.179999999999993</v>
      </c>
      <c r="M38" s="2"/>
      <c r="N38" s="7">
        <f t="shared" si="31"/>
        <v>2.337541528239202</v>
      </c>
      <c r="O38" s="11"/>
      <c r="P38" s="6">
        <v>259.68</v>
      </c>
      <c r="Q38" s="2"/>
      <c r="R38" s="7">
        <f t="shared" si="32"/>
        <v>1.2401295965992331E-3</v>
      </c>
      <c r="S38" s="2"/>
      <c r="T38" s="6">
        <v>110.63</v>
      </c>
      <c r="U38" s="2"/>
      <c r="V38" s="7">
        <f t="shared" si="33"/>
        <v>4.1455883565288424E-3</v>
      </c>
      <c r="W38" s="2"/>
      <c r="X38" s="6">
        <f t="shared" si="34"/>
        <v>149.05000000000001</v>
      </c>
      <c r="Y38" s="2"/>
      <c r="Z38" s="7">
        <f t="shared" si="35"/>
        <v>1.3472837385880865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-1.28</v>
      </c>
      <c r="E39" s="1"/>
      <c r="F39" s="5">
        <f t="shared" si="28"/>
        <v>-1.4469007216982545E-5</v>
      </c>
      <c r="G39" s="1"/>
      <c r="H39" s="1">
        <f>SUM(OSRRefH22_3x_0)</f>
        <v>1531.8</v>
      </c>
      <c r="I39" s="1"/>
      <c r="J39" s="5">
        <f t="shared" si="29"/>
        <v>0.11526297611442321</v>
      </c>
      <c r="K39" s="1"/>
      <c r="L39" s="1">
        <f t="shared" si="30"/>
        <v>-1533.08</v>
      </c>
      <c r="M39" s="1"/>
      <c r="N39" s="5">
        <f t="shared" si="31"/>
        <v>-1.0008356182269225</v>
      </c>
      <c r="O39" s="14"/>
      <c r="P39" s="1">
        <f>SUM(OSRRefP22_3x_0)</f>
        <v>-22.06</v>
      </c>
      <c r="Q39" s="1"/>
      <c r="R39" s="5">
        <f t="shared" si="32"/>
        <v>-1.0534988794277218E-4</v>
      </c>
      <c r="S39" s="1"/>
      <c r="T39" s="1">
        <f>SUM(OSRRefT22_3x_0)</f>
        <v>1338.28</v>
      </c>
      <c r="U39" s="1"/>
      <c r="V39" s="5">
        <f t="shared" si="33"/>
        <v>5.0148766028883837E-2</v>
      </c>
      <c r="W39" s="1"/>
      <c r="X39" s="1">
        <f t="shared" si="34"/>
        <v>-1360.34</v>
      </c>
      <c r="Y39" s="1"/>
      <c r="Z39" s="5">
        <f t="shared" si="35"/>
        <v>-1.01648384493529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6">
        <v>-1.28</v>
      </c>
      <c r="E40" s="2"/>
      <c r="F40" s="7">
        <f t="shared" si="28"/>
        <v>-1.4469007216982545E-5</v>
      </c>
      <c r="G40" s="2"/>
      <c r="H40" s="6">
        <v>1531.8</v>
      </c>
      <c r="I40" s="2"/>
      <c r="J40" s="7">
        <f t="shared" si="29"/>
        <v>0.11526297611442321</v>
      </c>
      <c r="K40" s="2"/>
      <c r="L40" s="6">
        <f t="shared" si="30"/>
        <v>-1533.08</v>
      </c>
      <c r="M40" s="2"/>
      <c r="N40" s="7">
        <f t="shared" si="31"/>
        <v>-1.0008356182269225</v>
      </c>
      <c r="O40" s="11"/>
      <c r="P40" s="6">
        <v>-22.06</v>
      </c>
      <c r="Q40" s="2"/>
      <c r="R40" s="7">
        <f t="shared" si="32"/>
        <v>-1.0534988794277218E-4</v>
      </c>
      <c r="S40" s="2"/>
      <c r="T40" s="6">
        <v>1338.28</v>
      </c>
      <c r="U40" s="2"/>
      <c r="V40" s="7">
        <f t="shared" si="33"/>
        <v>5.0148766028883837E-2</v>
      </c>
      <c r="W40" s="2"/>
      <c r="X40" s="6">
        <f t="shared" si="34"/>
        <v>-1360.34</v>
      </c>
      <c r="Y40" s="2"/>
      <c r="Z40" s="7">
        <f t="shared" si="35"/>
        <v>-1.01648384493529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3141.89</v>
      </c>
      <c r="E41" s="1"/>
      <c r="F41" s="5">
        <f t="shared" si="28"/>
        <v>3.5515647722629134E-2</v>
      </c>
      <c r="G41" s="1"/>
      <c r="H41" s="1">
        <f>SUM(OSRRefH22_4x_0)</f>
        <v>375.64</v>
      </c>
      <c r="I41" s="1"/>
      <c r="J41" s="5">
        <f t="shared" si="29"/>
        <v>2.8265690264800847E-2</v>
      </c>
      <c r="K41" s="1"/>
      <c r="L41" s="1">
        <f t="shared" si="30"/>
        <v>2766.25</v>
      </c>
      <c r="M41" s="1"/>
      <c r="N41" s="5">
        <f t="shared" si="31"/>
        <v>7.3640986050473858</v>
      </c>
      <c r="O41" s="14"/>
      <c r="P41" s="1">
        <f>SUM(OSRRefP22_4x_0)</f>
        <v>7149.98</v>
      </c>
      <c r="Q41" s="1"/>
      <c r="R41" s="5">
        <f t="shared" si="32"/>
        <v>3.4145493734952959E-2</v>
      </c>
      <c r="S41" s="1"/>
      <c r="T41" s="1">
        <f>SUM(OSRRefT22_4x_0)</f>
        <v>441.15</v>
      </c>
      <c r="U41" s="1"/>
      <c r="V41" s="5">
        <f t="shared" si="33"/>
        <v>1.6531016030757469E-2</v>
      </c>
      <c r="W41" s="1"/>
      <c r="X41" s="1">
        <f t="shared" si="34"/>
        <v>6708.83</v>
      </c>
      <c r="Y41" s="1"/>
      <c r="Z41" s="5">
        <f t="shared" si="35"/>
        <v>15.207593788960672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6">
        <v>3141.89</v>
      </c>
      <c r="E42" s="2"/>
      <c r="F42" s="7">
        <f t="shared" si="28"/>
        <v>3.5515647722629134E-2</v>
      </c>
      <c r="G42" s="2"/>
      <c r="H42" s="6">
        <v>375.64</v>
      </c>
      <c r="I42" s="2"/>
      <c r="J42" s="7">
        <f t="shared" si="29"/>
        <v>2.8265690264800847E-2</v>
      </c>
      <c r="K42" s="2"/>
      <c r="L42" s="6">
        <f t="shared" si="30"/>
        <v>2766.25</v>
      </c>
      <c r="M42" s="2"/>
      <c r="N42" s="7">
        <f t="shared" si="31"/>
        <v>7.3640986050473858</v>
      </c>
      <c r="O42" s="11"/>
      <c r="P42" s="6">
        <v>7149.98</v>
      </c>
      <c r="Q42" s="2"/>
      <c r="R42" s="7">
        <f t="shared" si="32"/>
        <v>3.4145493734952959E-2</v>
      </c>
      <c r="S42" s="2"/>
      <c r="T42" s="6">
        <v>441.15</v>
      </c>
      <c r="U42" s="2"/>
      <c r="V42" s="7">
        <f t="shared" si="33"/>
        <v>1.6531016030757469E-2</v>
      </c>
      <c r="W42" s="2"/>
      <c r="X42" s="6">
        <f t="shared" si="34"/>
        <v>6708.83</v>
      </c>
      <c r="Y42" s="2"/>
      <c r="Z42" s="7">
        <f t="shared" si="35"/>
        <v>15.207593788960672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28"/>
        <v>0.15833773714900648</v>
      </c>
      <c r="G43" s="1"/>
      <c r="H43" s="1">
        <f>SUM(OSRRefH22_5x_0)</f>
        <v>13959.68</v>
      </c>
      <c r="I43" s="1"/>
      <c r="J43" s="5">
        <f t="shared" si="29"/>
        <v>1.0504205917254155</v>
      </c>
      <c r="K43" s="1"/>
      <c r="L43" s="1">
        <f t="shared" si="30"/>
        <v>47.659999999999854</v>
      </c>
      <c r="M43" s="1"/>
      <c r="N43" s="5">
        <f t="shared" si="31"/>
        <v>3.4141183752062982E-3</v>
      </c>
      <c r="O43" s="14"/>
      <c r="P43" s="1">
        <f>SUM(OSRRefP22_5x_0)</f>
        <v>56029.36</v>
      </c>
      <c r="Q43" s="1"/>
      <c r="R43" s="5">
        <f t="shared" si="32"/>
        <v>0.26757419752970274</v>
      </c>
      <c r="S43" s="1"/>
      <c r="T43" s="1">
        <f>SUM(OSRRefT22_5x_0)</f>
        <v>55574.559999999998</v>
      </c>
      <c r="U43" s="1"/>
      <c r="V43" s="5">
        <f t="shared" si="33"/>
        <v>2.0825205536944189</v>
      </c>
      <c r="W43" s="1"/>
      <c r="X43" s="1">
        <f t="shared" si="34"/>
        <v>454.80000000000291</v>
      </c>
      <c r="Y43" s="1"/>
      <c r="Z43" s="5">
        <f t="shared" si="35"/>
        <v>8.1836005539225667E-3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6">
        <v>10597.26</v>
      </c>
      <c r="E44" s="2"/>
      <c r="F44" s="7">
        <f t="shared" si="28"/>
        <v>0.11979049329706286</v>
      </c>
      <c r="G44" s="2"/>
      <c r="H44" s="6">
        <v>10597.26</v>
      </c>
      <c r="I44" s="2"/>
      <c r="J44" s="7">
        <f t="shared" si="29"/>
        <v>0.7974094047906598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42389.04</v>
      </c>
      <c r="Q44" s="2"/>
      <c r="R44" s="7">
        <f t="shared" si="32"/>
        <v>0.20243339138720254</v>
      </c>
      <c r="S44" s="2"/>
      <c r="T44" s="6">
        <v>42389.04</v>
      </c>
      <c r="U44" s="2"/>
      <c r="V44" s="7">
        <f t="shared" si="33"/>
        <v>1.5884254783371181</v>
      </c>
      <c r="W44" s="2"/>
      <c r="X44" s="6">
        <f t="shared" si="34"/>
        <v>0</v>
      </c>
      <c r="Y44" s="2"/>
      <c r="Z44" s="7">
        <f t="shared" si="35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3410.08</v>
      </c>
      <c r="E45" s="2"/>
      <c r="F45" s="7">
        <f t="shared" si="28"/>
        <v>3.8547243851943622E-2</v>
      </c>
      <c r="G45" s="2"/>
      <c r="H45" s="6">
        <v>3362.42</v>
      </c>
      <c r="I45" s="2"/>
      <c r="J45" s="7">
        <f t="shared" si="29"/>
        <v>0.25301118693475577</v>
      </c>
      <c r="K45" s="2"/>
      <c r="L45" s="6">
        <f t="shared" si="30"/>
        <v>47.659999999999854</v>
      </c>
      <c r="M45" s="2"/>
      <c r="N45" s="7">
        <f t="shared" si="31"/>
        <v>1.4174314927938763E-2</v>
      </c>
      <c r="O45" s="11"/>
      <c r="P45" s="6">
        <v>13640.32</v>
      </c>
      <c r="Q45" s="2"/>
      <c r="R45" s="7">
        <f t="shared" si="32"/>
        <v>6.5140806142500188E-2</v>
      </c>
      <c r="S45" s="2"/>
      <c r="T45" s="6">
        <v>13185.52</v>
      </c>
      <c r="U45" s="2"/>
      <c r="V45" s="7">
        <f t="shared" si="33"/>
        <v>0.49409507535730079</v>
      </c>
      <c r="W45" s="2"/>
      <c r="X45" s="6">
        <f t="shared" si="34"/>
        <v>454.79999999999927</v>
      </c>
      <c r="Y45" s="2"/>
      <c r="Z45" s="7">
        <f t="shared" si="35"/>
        <v>3.4492382552982308E-2</v>
      </c>
    </row>
    <row r="46" spans="1:26" s="28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368.72</v>
      </c>
      <c r="E46" s="1"/>
      <c r="F46" s="5">
        <f t="shared" ref="F46:F56" si="36">IF(D$12=0,0,D46/D$12)</f>
        <v>4.1679783914420352E-3</v>
      </c>
      <c r="G46" s="1"/>
      <c r="H46" s="1">
        <f>SUM(OSRRefH22_6x_0)</f>
        <v>407.23</v>
      </c>
      <c r="I46" s="1"/>
      <c r="J46" s="5">
        <f t="shared" ref="J46:J56" si="37">IF(H$12=0,0,H46/H$12)</f>
        <v>3.0642735189369739E-2</v>
      </c>
      <c r="K46" s="1"/>
      <c r="L46" s="1">
        <f t="shared" ref="L46:L56" si="38">+D46-H46</f>
        <v>-38.509999999999991</v>
      </c>
      <c r="M46" s="1"/>
      <c r="N46" s="5">
        <f t="shared" ref="N46:N56" si="39">IF(H46=0,0,L46/H46)</f>
        <v>-9.4565724529135836E-2</v>
      </c>
      <c r="O46" s="14"/>
      <c r="P46" s="1">
        <f>SUM(OSRRefP22_6x_0)</f>
        <v>858.79</v>
      </c>
      <c r="Q46" s="1"/>
      <c r="R46" s="5">
        <f t="shared" ref="R46:R56" si="40">IF(P$12=0,0,P46/P$12)</f>
        <v>4.1012434390921724E-3</v>
      </c>
      <c r="S46" s="1"/>
      <c r="T46" s="1">
        <f>SUM(OSRRefT22_6x_0)</f>
        <v>585.38</v>
      </c>
      <c r="U46" s="1"/>
      <c r="V46" s="5">
        <f t="shared" ref="V46:V56" si="41">IF(T$12=0,0,T46/T$12)</f>
        <v>2.1935682112852337E-2</v>
      </c>
      <c r="W46" s="1"/>
      <c r="X46" s="1">
        <f t="shared" ref="X46:X56" si="42">+P46-T46</f>
        <v>273.40999999999997</v>
      </c>
      <c r="Y46" s="1"/>
      <c r="Z46" s="5">
        <f t="shared" ref="Z46:Z56" si="43">IF(T46=0,0,X46/T46)</f>
        <v>0.46706412928354224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6">
        <v>368.72</v>
      </c>
      <c r="E47" s="2"/>
      <c r="F47" s="7">
        <f t="shared" si="36"/>
        <v>4.1679783914420352E-3</v>
      </c>
      <c r="G47" s="2"/>
      <c r="H47" s="6">
        <v>407.23</v>
      </c>
      <c r="I47" s="2"/>
      <c r="J47" s="7">
        <f t="shared" si="37"/>
        <v>3.0642735189369739E-2</v>
      </c>
      <c r="K47" s="2"/>
      <c r="L47" s="6">
        <f t="shared" si="38"/>
        <v>-38.509999999999991</v>
      </c>
      <c r="M47" s="2"/>
      <c r="N47" s="7">
        <f t="shared" si="39"/>
        <v>-9.4565724529135836E-2</v>
      </c>
      <c r="O47" s="11"/>
      <c r="P47" s="6">
        <v>858.79</v>
      </c>
      <c r="Q47" s="2"/>
      <c r="R47" s="7">
        <f t="shared" si="40"/>
        <v>4.1012434390921724E-3</v>
      </c>
      <c r="S47" s="2"/>
      <c r="T47" s="6">
        <v>585.38</v>
      </c>
      <c r="U47" s="2"/>
      <c r="V47" s="7">
        <f t="shared" si="41"/>
        <v>2.1935682112852337E-2</v>
      </c>
      <c r="W47" s="2"/>
      <c r="X47" s="6">
        <f t="shared" si="42"/>
        <v>273.40999999999997</v>
      </c>
      <c r="Y47" s="2"/>
      <c r="Z47" s="7">
        <f t="shared" si="43"/>
        <v>0.46706412928354224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13.05</v>
      </c>
      <c r="E48" s="1"/>
      <c r="F48" s="5">
        <f t="shared" si="36"/>
        <v>1.4751605014189236E-4</v>
      </c>
      <c r="G48" s="1"/>
      <c r="H48" s="1">
        <f>SUM(OSRRefH22_7x_0)</f>
        <v>0</v>
      </c>
      <c r="I48" s="1"/>
      <c r="J48" s="5">
        <f t="shared" si="37"/>
        <v>0</v>
      </c>
      <c r="K48" s="1"/>
      <c r="L48" s="1">
        <f t="shared" si="38"/>
        <v>13.05</v>
      </c>
      <c r="M48" s="1"/>
      <c r="N48" s="5">
        <f t="shared" si="39"/>
        <v>0</v>
      </c>
      <c r="O48" s="14"/>
      <c r="P48" s="1">
        <f>SUM(OSRRefP22_7x_0)</f>
        <v>1520.97</v>
      </c>
      <c r="Q48" s="1"/>
      <c r="R48" s="5">
        <f t="shared" si="40"/>
        <v>7.263554807992666E-3</v>
      </c>
      <c r="S48" s="1"/>
      <c r="T48" s="1">
        <f>SUM(OSRRefT22_7x_0)</f>
        <v>1955.07</v>
      </c>
      <c r="U48" s="1"/>
      <c r="V48" s="5">
        <f t="shared" si="41"/>
        <v>7.3261460979832271E-2</v>
      </c>
      <c r="W48" s="1"/>
      <c r="X48" s="1">
        <f t="shared" si="42"/>
        <v>-434.09999999999991</v>
      </c>
      <c r="Y48" s="1"/>
      <c r="Z48" s="5">
        <f t="shared" si="43"/>
        <v>-0.22203808559284319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6">
        <v>13.05</v>
      </c>
      <c r="E49" s="2"/>
      <c r="F49" s="7">
        <f t="shared" si="36"/>
        <v>1.4751605014189236E-4</v>
      </c>
      <c r="G49" s="2"/>
      <c r="H49" s="6"/>
      <c r="I49" s="2"/>
      <c r="J49" s="7">
        <f t="shared" si="37"/>
        <v>0</v>
      </c>
      <c r="K49" s="2"/>
      <c r="L49" s="6">
        <f t="shared" si="38"/>
        <v>13.05</v>
      </c>
      <c r="M49" s="2"/>
      <c r="N49" s="7">
        <f t="shared" si="39"/>
        <v>0</v>
      </c>
      <c r="O49" s="11"/>
      <c r="P49" s="6">
        <v>1520.97</v>
      </c>
      <c r="Q49" s="2"/>
      <c r="R49" s="7">
        <f t="shared" si="40"/>
        <v>7.263554807992666E-3</v>
      </c>
      <c r="S49" s="2"/>
      <c r="T49" s="6">
        <v>1955.07</v>
      </c>
      <c r="U49" s="2"/>
      <c r="V49" s="7">
        <f t="shared" si="41"/>
        <v>7.3261460979832271E-2</v>
      </c>
      <c r="W49" s="2"/>
      <c r="X49" s="6">
        <f t="shared" si="42"/>
        <v>-434.09999999999991</v>
      </c>
      <c r="Y49" s="2"/>
      <c r="Z49" s="7">
        <f t="shared" si="43"/>
        <v>-0.22203808559284319</v>
      </c>
    </row>
    <row r="50" spans="1:26" s="28" customFormat="1" outlineLevel="1" collapsed="1" x14ac:dyDescent="0.25">
      <c r="A50" s="27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871.61</v>
      </c>
      <c r="E50" s="1"/>
      <c r="F50" s="5">
        <f t="shared" si="36"/>
        <v>9.8526026409329354E-3</v>
      </c>
      <c r="G50" s="1"/>
      <c r="H50" s="1">
        <f>SUM(OSRRefH22_8x_0)</f>
        <v>641.28</v>
      </c>
      <c r="I50" s="1"/>
      <c r="J50" s="5">
        <f t="shared" si="37"/>
        <v>4.8254237709007261E-2</v>
      </c>
      <c r="K50" s="1"/>
      <c r="L50" s="1">
        <f t="shared" si="38"/>
        <v>230.33000000000004</v>
      </c>
      <c r="M50" s="1"/>
      <c r="N50" s="5">
        <f t="shared" si="39"/>
        <v>0.35917228043912186</v>
      </c>
      <c r="O50" s="14"/>
      <c r="P50" s="1">
        <f>SUM(OSRRefP22_8x_0)</f>
        <v>3486.44</v>
      </c>
      <c r="Q50" s="1"/>
      <c r="R50" s="5">
        <f t="shared" si="40"/>
        <v>1.6649866877570203E-2</v>
      </c>
      <c r="S50" s="1"/>
      <c r="T50" s="1">
        <f>SUM(OSRRefT22_8x_0)</f>
        <v>2565.12</v>
      </c>
      <c r="U50" s="1"/>
      <c r="V50" s="5">
        <f t="shared" si="41"/>
        <v>9.6121590934640372E-2</v>
      </c>
      <c r="W50" s="1"/>
      <c r="X50" s="1">
        <f t="shared" si="42"/>
        <v>921.32000000000016</v>
      </c>
      <c r="Y50" s="1"/>
      <c r="Z50" s="5">
        <f t="shared" si="43"/>
        <v>0.35917228043912186</v>
      </c>
    </row>
    <row r="51" spans="1:26" s="24" customFormat="1" hidden="1" outlineLevel="2" x14ac:dyDescent="0.25">
      <c r="A51" s="29"/>
      <c r="B51" s="11" t="str">
        <f>CONCATENATE("          ", "6314", " - ", "LIABILITY INSURANCE")</f>
        <v xml:space="preserve">          6314 - LIABILITY INSURANCE</v>
      </c>
      <c r="C51" s="11"/>
      <c r="D51" s="6">
        <v>871.61</v>
      </c>
      <c r="E51" s="2"/>
      <c r="F51" s="7">
        <f t="shared" si="36"/>
        <v>9.8526026409329354E-3</v>
      </c>
      <c r="G51" s="2"/>
      <c r="H51" s="6">
        <v>641.28</v>
      </c>
      <c r="I51" s="2"/>
      <c r="J51" s="7">
        <f t="shared" si="37"/>
        <v>4.8254237709007261E-2</v>
      </c>
      <c r="K51" s="2"/>
      <c r="L51" s="6">
        <f t="shared" si="38"/>
        <v>230.33000000000004</v>
      </c>
      <c r="M51" s="2"/>
      <c r="N51" s="7">
        <f t="shared" si="39"/>
        <v>0.35917228043912186</v>
      </c>
      <c r="O51" s="11"/>
      <c r="P51" s="6">
        <v>3486.44</v>
      </c>
      <c r="Q51" s="2"/>
      <c r="R51" s="7">
        <f t="shared" si="40"/>
        <v>1.6649866877570203E-2</v>
      </c>
      <c r="S51" s="2"/>
      <c r="T51" s="6">
        <v>2565.12</v>
      </c>
      <c r="U51" s="2"/>
      <c r="V51" s="7">
        <f t="shared" si="41"/>
        <v>9.6121590934640372E-2</v>
      </c>
      <c r="W51" s="2"/>
      <c r="X51" s="6">
        <f t="shared" si="42"/>
        <v>921.32000000000016</v>
      </c>
      <c r="Y51" s="2"/>
      <c r="Z51" s="7">
        <f t="shared" si="43"/>
        <v>0.35917228043912186</v>
      </c>
    </row>
    <row r="52" spans="1:26" s="28" customFormat="1" outlineLevel="1" collapsed="1" x14ac:dyDescent="0.25">
      <c r="A52" s="27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SUM(OSRRefD22_9x_0)</f>
        <v>6739</v>
      </c>
      <c r="E52" s="1"/>
      <c r="F52" s="5">
        <f t="shared" si="36"/>
        <v>7.6177062215035451E-2</v>
      </c>
      <c r="G52" s="1"/>
      <c r="H52" s="1">
        <f>SUM(OSRRefH22_9x_0)</f>
        <v>7023.15</v>
      </c>
      <c r="I52" s="1"/>
      <c r="J52" s="5">
        <f t="shared" si="37"/>
        <v>0.52846923273143454</v>
      </c>
      <c r="K52" s="1"/>
      <c r="L52" s="1">
        <f t="shared" si="38"/>
        <v>-284.14999999999964</v>
      </c>
      <c r="M52" s="1"/>
      <c r="N52" s="5">
        <f t="shared" si="39"/>
        <v>-4.0459053273815833E-2</v>
      </c>
      <c r="O52" s="14"/>
      <c r="P52" s="1">
        <f>SUM(OSRRefP22_9x_0)</f>
        <v>28498</v>
      </c>
      <c r="Q52" s="1"/>
      <c r="R52" s="5">
        <f t="shared" si="40"/>
        <v>0.13609524508581694</v>
      </c>
      <c r="S52" s="1"/>
      <c r="T52" s="1">
        <f>SUM(OSRRefT22_9x_0)</f>
        <v>29553.15</v>
      </c>
      <c r="U52" s="1"/>
      <c r="V52" s="5">
        <f t="shared" si="41"/>
        <v>1.1074319311104617</v>
      </c>
      <c r="W52" s="1"/>
      <c r="X52" s="1">
        <f t="shared" si="42"/>
        <v>-1055.1500000000015</v>
      </c>
      <c r="Y52" s="1"/>
      <c r="Z52" s="5">
        <f t="shared" si="43"/>
        <v>-3.5703469850083713E-2</v>
      </c>
    </row>
    <row r="53" spans="1:26" s="24" customFormat="1" hidden="1" outlineLevel="2" x14ac:dyDescent="0.25">
      <c r="A53" s="29"/>
      <c r="B53" s="11" t="str">
        <f>CONCATENATE("          ", "6401", " - ", "INTEREST EXPENSE")</f>
        <v xml:space="preserve">          6401 - INTEREST EXPENSE</v>
      </c>
      <c r="C53" s="11"/>
      <c r="D53" s="6">
        <v>6739</v>
      </c>
      <c r="E53" s="2"/>
      <c r="F53" s="7">
        <f t="shared" si="36"/>
        <v>7.6177062215035451E-2</v>
      </c>
      <c r="G53" s="2"/>
      <c r="H53" s="6">
        <v>7023.15</v>
      </c>
      <c r="I53" s="2"/>
      <c r="J53" s="7">
        <f t="shared" si="37"/>
        <v>0.52846923273143454</v>
      </c>
      <c r="K53" s="2"/>
      <c r="L53" s="6">
        <f t="shared" si="38"/>
        <v>-284.14999999999964</v>
      </c>
      <c r="M53" s="2"/>
      <c r="N53" s="7">
        <f t="shared" si="39"/>
        <v>-4.0459053273815833E-2</v>
      </c>
      <c r="O53" s="11"/>
      <c r="P53" s="6">
        <v>28498</v>
      </c>
      <c r="Q53" s="2"/>
      <c r="R53" s="7">
        <f t="shared" si="40"/>
        <v>0.13609524508581694</v>
      </c>
      <c r="S53" s="2"/>
      <c r="T53" s="6">
        <v>29553.15</v>
      </c>
      <c r="U53" s="2"/>
      <c r="V53" s="7">
        <f t="shared" si="41"/>
        <v>1.1074319311104617</v>
      </c>
      <c r="W53" s="2"/>
      <c r="X53" s="6">
        <f t="shared" si="42"/>
        <v>-1055.1500000000015</v>
      </c>
      <c r="Y53" s="2"/>
      <c r="Z53" s="7">
        <f t="shared" si="43"/>
        <v>-3.5703469850083713E-2</v>
      </c>
    </row>
    <row r="54" spans="1:26" s="28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4090.19</v>
      </c>
      <c r="E54" s="1"/>
      <c r="F54" s="5">
        <f t="shared" si="36"/>
        <v>4.6235147366273315E-2</v>
      </c>
      <c r="G54" s="1"/>
      <c r="H54" s="1">
        <f>SUM(OSRRefH22_10x_0)</f>
        <v>3999.35</v>
      </c>
      <c r="I54" s="1"/>
      <c r="J54" s="5">
        <f t="shared" si="37"/>
        <v>0.300938101268585</v>
      </c>
      <c r="K54" s="1"/>
      <c r="L54" s="1">
        <f t="shared" si="38"/>
        <v>90.840000000000146</v>
      </c>
      <c r="M54" s="1"/>
      <c r="N54" s="5">
        <f t="shared" si="39"/>
        <v>2.271369097478344E-2</v>
      </c>
      <c r="O54" s="14"/>
      <c r="P54" s="1">
        <f>SUM(OSRRefP22_10x_0)</f>
        <v>15285.34</v>
      </c>
      <c r="Q54" s="1"/>
      <c r="R54" s="5">
        <f t="shared" si="40"/>
        <v>7.2996774984912666E-2</v>
      </c>
      <c r="S54" s="1"/>
      <c r="T54" s="1">
        <f>SUM(OSRRefT22_10x_0)</f>
        <v>11838.31</v>
      </c>
      <c r="U54" s="1"/>
      <c r="V54" s="5">
        <f t="shared" si="41"/>
        <v>0.44361167944480667</v>
      </c>
      <c r="W54" s="1"/>
      <c r="X54" s="1">
        <f t="shared" si="42"/>
        <v>3447.0300000000007</v>
      </c>
      <c r="Y54" s="1"/>
      <c r="Z54" s="5">
        <f t="shared" si="43"/>
        <v>0.29117585195859891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6">
        <v>439.36</v>
      </c>
      <c r="E55" s="2"/>
      <c r="F55" s="7">
        <f t="shared" si="36"/>
        <v>4.9664867272292586E-3</v>
      </c>
      <c r="G55" s="2"/>
      <c r="H55" s="6">
        <v>3179.44</v>
      </c>
      <c r="I55" s="2"/>
      <c r="J55" s="7">
        <f t="shared" si="37"/>
        <v>0.23924253608646151</v>
      </c>
      <c r="K55" s="2"/>
      <c r="L55" s="6">
        <f t="shared" si="38"/>
        <v>-2740.08</v>
      </c>
      <c r="M55" s="2"/>
      <c r="N55" s="7">
        <f t="shared" si="39"/>
        <v>-0.86181214301889641</v>
      </c>
      <c r="O55" s="11"/>
      <c r="P55" s="6">
        <v>547.14</v>
      </c>
      <c r="Q55" s="2"/>
      <c r="R55" s="7">
        <f t="shared" si="40"/>
        <v>2.6129255525389108E-3</v>
      </c>
      <c r="S55" s="2"/>
      <c r="T55" s="6">
        <v>6487.82</v>
      </c>
      <c r="U55" s="2"/>
      <c r="V55" s="7">
        <f t="shared" si="41"/>
        <v>0.24311516813933792</v>
      </c>
      <c r="W55" s="2"/>
      <c r="X55" s="6">
        <f t="shared" si="42"/>
        <v>-5940.6799999999994</v>
      </c>
      <c r="Y55" s="2"/>
      <c r="Z55" s="7">
        <f t="shared" si="43"/>
        <v>-0.91566658754404406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3650.83</v>
      </c>
      <c r="E56" s="2"/>
      <c r="F56" s="7">
        <f t="shared" si="36"/>
        <v>4.1268660639044052E-2</v>
      </c>
      <c r="G56" s="2"/>
      <c r="H56" s="6">
        <v>819.91</v>
      </c>
      <c r="I56" s="2"/>
      <c r="J56" s="7">
        <f t="shared" si="37"/>
        <v>6.169556518212347E-2</v>
      </c>
      <c r="K56" s="2"/>
      <c r="L56" s="6">
        <f t="shared" si="38"/>
        <v>2830.92</v>
      </c>
      <c r="M56" s="2"/>
      <c r="N56" s="7">
        <f t="shared" si="39"/>
        <v>3.4527204205339612</v>
      </c>
      <c r="O56" s="11"/>
      <c r="P56" s="6">
        <v>14738.2</v>
      </c>
      <c r="Q56" s="2"/>
      <c r="R56" s="7">
        <f t="shared" si="40"/>
        <v>7.038384943237376E-2</v>
      </c>
      <c r="S56" s="2"/>
      <c r="T56" s="6">
        <v>5350.49</v>
      </c>
      <c r="U56" s="2"/>
      <c r="V56" s="7">
        <f t="shared" si="41"/>
        <v>0.20049651130546872</v>
      </c>
      <c r="W56" s="2"/>
      <c r="X56" s="6">
        <f t="shared" si="42"/>
        <v>9387.7100000000009</v>
      </c>
      <c r="Y56" s="2"/>
      <c r="Z56" s="7">
        <f t="shared" si="43"/>
        <v>1.7545514522968926</v>
      </c>
    </row>
    <row r="57" spans="1:26" s="28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5101.8300000000008</v>
      </c>
      <c r="E57" s="1"/>
      <c r="F57" s="5">
        <f t="shared" ref="F57:F61" si="44">IF(D$12=0,0,D57/D$12)</f>
        <v>5.7670636788920371E-2</v>
      </c>
      <c r="G57" s="1"/>
      <c r="H57" s="1">
        <f>SUM(OSRRefH22_11x_0)</f>
        <v>2083.73</v>
      </c>
      <c r="I57" s="1"/>
      <c r="J57" s="5">
        <f t="shared" ref="J57:J61" si="45">IF(H$12=0,0,H57/H$12)</f>
        <v>0.15679391645052038</v>
      </c>
      <c r="K57" s="1"/>
      <c r="L57" s="1">
        <f t="shared" ref="L57:L61" si="46">+D57-H57</f>
        <v>3018.1000000000008</v>
      </c>
      <c r="M57" s="1"/>
      <c r="N57" s="5">
        <f t="shared" ref="N57:N61" si="47">IF(H57=0,0,L57/H57)</f>
        <v>1.4484122223128719</v>
      </c>
      <c r="O57" s="14"/>
      <c r="P57" s="1">
        <f>SUM(OSRRefP22_11x_0)</f>
        <v>24421.9</v>
      </c>
      <c r="Q57" s="1"/>
      <c r="R57" s="5">
        <f t="shared" ref="R57:R61" si="48">IF(P$12=0,0,P57/P$12)</f>
        <v>0.11662939385084262</v>
      </c>
      <c r="S57" s="1"/>
      <c r="T57" s="1">
        <f>SUM(OSRRefT22_11x_0)</f>
        <v>12004.589999999998</v>
      </c>
      <c r="U57" s="1"/>
      <c r="V57" s="5">
        <f t="shared" ref="V57:V61" si="49">IF(T$12=0,0,T57/T$12)</f>
        <v>0.44984261528430419</v>
      </c>
      <c r="W57" s="1"/>
      <c r="X57" s="1">
        <f t="shared" ref="X57:X61" si="50">+P57-T57</f>
        <v>12417.310000000003</v>
      </c>
      <c r="Y57" s="1"/>
      <c r="Z57" s="5">
        <f t="shared" ref="Z57:Z61" si="51">IF(T57=0,0,X57/T57)</f>
        <v>1.0343801829133694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703.1</v>
      </c>
      <c r="E58" s="2"/>
      <c r="F58" s="7">
        <f t="shared" si="44"/>
        <v>7.9477804486409592E-3</v>
      </c>
      <c r="G58" s="2"/>
      <c r="H58" s="6">
        <v>971.78</v>
      </c>
      <c r="I58" s="2"/>
      <c r="J58" s="7">
        <f t="shared" si="45"/>
        <v>7.3123289547247811E-2</v>
      </c>
      <c r="K58" s="2"/>
      <c r="L58" s="6">
        <f t="shared" si="46"/>
        <v>-268.67999999999995</v>
      </c>
      <c r="M58" s="2"/>
      <c r="N58" s="7">
        <f t="shared" si="47"/>
        <v>-0.27648233139187878</v>
      </c>
      <c r="O58" s="11"/>
      <c r="P58" s="6">
        <v>1406.2</v>
      </c>
      <c r="Q58" s="2"/>
      <c r="R58" s="7">
        <f t="shared" si="48"/>
        <v>6.7154584054907639E-3</v>
      </c>
      <c r="S58" s="2"/>
      <c r="T58" s="6">
        <v>1466.03</v>
      </c>
      <c r="U58" s="2"/>
      <c r="V58" s="7">
        <f t="shared" si="49"/>
        <v>5.4935884464629658E-2</v>
      </c>
      <c r="W58" s="2"/>
      <c r="X58" s="6">
        <f t="shared" si="50"/>
        <v>-59.829999999999927</v>
      </c>
      <c r="Y58" s="2"/>
      <c r="Z58" s="7">
        <f t="shared" si="51"/>
        <v>-4.0810897457760023E-2</v>
      </c>
    </row>
    <row r="59" spans="1:26" s="24" customFormat="1" hidden="1" outlineLevel="2" x14ac:dyDescent="0.25">
      <c r="A59" s="29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44"/>
        <v>0</v>
      </c>
      <c r="G59" s="2"/>
      <c r="H59" s="6">
        <v>1000</v>
      </c>
      <c r="I59" s="2"/>
      <c r="J59" s="7">
        <f t="shared" si="45"/>
        <v>7.5246752914494855E-2</v>
      </c>
      <c r="K59" s="2"/>
      <c r="L59" s="6">
        <f t="shared" si="46"/>
        <v>-1000</v>
      </c>
      <c r="M59" s="2"/>
      <c r="N59" s="7">
        <f t="shared" si="47"/>
        <v>-1</v>
      </c>
      <c r="O59" s="11"/>
      <c r="P59" s="6"/>
      <c r="Q59" s="2"/>
      <c r="R59" s="7">
        <f t="shared" si="48"/>
        <v>0</v>
      </c>
      <c r="S59" s="2"/>
      <c r="T59" s="6">
        <v>3761</v>
      </c>
      <c r="U59" s="2"/>
      <c r="V59" s="7">
        <f t="shared" si="49"/>
        <v>0.14093426565041106</v>
      </c>
      <c r="W59" s="2"/>
      <c r="X59" s="6">
        <f t="shared" si="50"/>
        <v>-3761</v>
      </c>
      <c r="Y59" s="2"/>
      <c r="Z59" s="7">
        <f t="shared" si="51"/>
        <v>-1</v>
      </c>
    </row>
    <row r="60" spans="1:26" s="24" customFormat="1" hidden="1" outlineLevel="2" x14ac:dyDescent="0.25">
      <c r="A60" s="29"/>
      <c r="B60" s="11" t="str">
        <f>CONCATENATE("          ", "6285", " - ", "JANITORIAL SERVICES")</f>
        <v xml:space="preserve">          6285 - JANITORIAL SERVICES</v>
      </c>
      <c r="C60" s="11"/>
      <c r="D60" s="6">
        <v>3804.38</v>
      </c>
      <c r="E60" s="2"/>
      <c r="F60" s="7">
        <f t="shared" si="44"/>
        <v>4.3004376309487544E-2</v>
      </c>
      <c r="G60" s="2"/>
      <c r="H60" s="6"/>
      <c r="I60" s="2"/>
      <c r="J60" s="7">
        <f t="shared" si="45"/>
        <v>0</v>
      </c>
      <c r="K60" s="2"/>
      <c r="L60" s="6">
        <f t="shared" si="46"/>
        <v>3804.38</v>
      </c>
      <c r="M60" s="2"/>
      <c r="N60" s="7">
        <f t="shared" si="47"/>
        <v>0</v>
      </c>
      <c r="O60" s="11"/>
      <c r="P60" s="6">
        <v>21967.96</v>
      </c>
      <c r="Q60" s="2"/>
      <c r="R60" s="7">
        <f t="shared" si="48"/>
        <v>0.10491034108482782</v>
      </c>
      <c r="S60" s="2"/>
      <c r="T60" s="6">
        <v>6411.93</v>
      </c>
      <c r="U60" s="2"/>
      <c r="V60" s="7">
        <f t="shared" si="49"/>
        <v>0.2402713762169211</v>
      </c>
      <c r="W60" s="2"/>
      <c r="X60" s="6">
        <f t="shared" si="50"/>
        <v>15556.029999999999</v>
      </c>
      <c r="Y60" s="2"/>
      <c r="Z60" s="7">
        <f t="shared" si="51"/>
        <v>2.4261072719134487</v>
      </c>
    </row>
    <row r="61" spans="1:26" s="24" customFormat="1" hidden="1" outlineLevel="2" x14ac:dyDescent="0.25">
      <c r="A61" s="29"/>
      <c r="B61" s="11" t="str">
        <f>CONCATENATE("          ", "6286", " - ", "LAUNDRY EXPENSE")</f>
        <v xml:space="preserve">          6286 - LAUNDRY EXPENSE</v>
      </c>
      <c r="C61" s="11"/>
      <c r="D61" s="6">
        <v>594.35</v>
      </c>
      <c r="E61" s="2"/>
      <c r="F61" s="7">
        <f t="shared" si="44"/>
        <v>6.7184800307918567E-3</v>
      </c>
      <c r="G61" s="2"/>
      <c r="H61" s="6">
        <v>111.95</v>
      </c>
      <c r="I61" s="2"/>
      <c r="J61" s="7">
        <f t="shared" si="45"/>
        <v>8.4238739887776987E-3</v>
      </c>
      <c r="K61" s="2"/>
      <c r="L61" s="6">
        <f t="shared" si="46"/>
        <v>482.40000000000003</v>
      </c>
      <c r="M61" s="2"/>
      <c r="N61" s="7">
        <f t="shared" si="47"/>
        <v>4.3090665475658776</v>
      </c>
      <c r="O61" s="11"/>
      <c r="P61" s="6">
        <v>1047.74</v>
      </c>
      <c r="Q61" s="2"/>
      <c r="R61" s="7">
        <f t="shared" si="48"/>
        <v>5.0035943605240309E-3</v>
      </c>
      <c r="S61" s="2"/>
      <c r="T61" s="6">
        <v>365.63</v>
      </c>
      <c r="U61" s="2"/>
      <c r="V61" s="7">
        <f t="shared" si="49"/>
        <v>1.3701088952342408E-2</v>
      </c>
      <c r="W61" s="2"/>
      <c r="X61" s="6">
        <f t="shared" si="50"/>
        <v>682.11</v>
      </c>
      <c r="Y61" s="2"/>
      <c r="Z61" s="7">
        <f t="shared" si="51"/>
        <v>1.8655744878702514</v>
      </c>
    </row>
    <row r="62" spans="1:26" s="28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451.06</v>
      </c>
      <c r="E62" s="1"/>
      <c r="F62" s="5">
        <f t="shared" ref="F62:F70" si="52">IF(D$12=0,0,D62/D$12)</f>
        <v>5.0987424963219894E-3</v>
      </c>
      <c r="G62" s="1"/>
      <c r="H62" s="1">
        <f>SUM(OSRRefH22_12x_0)</f>
        <v>130.66999999999999</v>
      </c>
      <c r="I62" s="1"/>
      <c r="J62" s="5">
        <f t="shared" ref="J62:J70" si="53">IF(H$12=0,0,H62/H$12)</f>
        <v>9.8324932033370411E-3</v>
      </c>
      <c r="K62" s="1"/>
      <c r="L62" s="1">
        <f t="shared" ref="L62:L70" si="54">+D62-H62</f>
        <v>320.39</v>
      </c>
      <c r="M62" s="1"/>
      <c r="N62" s="5">
        <f t="shared" ref="N62:N70" si="55">IF(H62=0,0,L62/H62)</f>
        <v>2.4519017372005818</v>
      </c>
      <c r="O62" s="14"/>
      <c r="P62" s="1">
        <f>SUM(OSRRefP22_12x_0)</f>
        <v>1380.25</v>
      </c>
      <c r="Q62" s="1"/>
      <c r="R62" s="5">
        <f t="shared" ref="R62:R70" si="56">IF(P$12=0,0,P62/P$12)</f>
        <v>6.5915314067548185E-3</v>
      </c>
      <c r="S62" s="1"/>
      <c r="T62" s="1">
        <f>SUM(OSRRefT22_12x_0)</f>
        <v>271.33</v>
      </c>
      <c r="U62" s="1"/>
      <c r="V62" s="5">
        <f t="shared" ref="V62:V70" si="57">IF(T$12=0,0,T62/T$12)</f>
        <v>1.0167427359459195E-2</v>
      </c>
      <c r="W62" s="1"/>
      <c r="X62" s="1">
        <f t="shared" ref="X62:X70" si="58">+P62-T62</f>
        <v>1108.92</v>
      </c>
      <c r="Y62" s="1"/>
      <c r="Z62" s="5">
        <f t="shared" ref="Z62:Z70" si="59">IF(T62=0,0,X62/T62)</f>
        <v>4.0869789555154243</v>
      </c>
    </row>
    <row r="63" spans="1:26" s="24" customFormat="1" hidden="1" outlineLevel="2" x14ac:dyDescent="0.25">
      <c r="A63" s="29"/>
      <c r="B63" s="11" t="str">
        <f>CONCATENATE("          ", "6275", " - ", "SUBSCRIPTIONS")</f>
        <v xml:space="preserve">          6275 - SUBSCRIPTIONS</v>
      </c>
      <c r="C63" s="11"/>
      <c r="D63" s="6">
        <v>451.06</v>
      </c>
      <c r="E63" s="2"/>
      <c r="F63" s="7">
        <f t="shared" si="52"/>
        <v>5.0987424963219894E-3</v>
      </c>
      <c r="G63" s="2"/>
      <c r="H63" s="6">
        <v>130.66999999999999</v>
      </c>
      <c r="I63" s="2"/>
      <c r="J63" s="7">
        <f t="shared" si="53"/>
        <v>9.8324932033370411E-3</v>
      </c>
      <c r="K63" s="2"/>
      <c r="L63" s="6">
        <f t="shared" si="54"/>
        <v>320.39</v>
      </c>
      <c r="M63" s="2"/>
      <c r="N63" s="7">
        <f t="shared" si="55"/>
        <v>2.4519017372005818</v>
      </c>
      <c r="O63" s="11"/>
      <c r="P63" s="6">
        <v>1380.25</v>
      </c>
      <c r="Q63" s="2"/>
      <c r="R63" s="7">
        <f t="shared" si="56"/>
        <v>6.5915314067548185E-3</v>
      </c>
      <c r="S63" s="2"/>
      <c r="T63" s="6">
        <v>271.33</v>
      </c>
      <c r="U63" s="2"/>
      <c r="V63" s="7">
        <f t="shared" si="57"/>
        <v>1.0167427359459195E-2</v>
      </c>
      <c r="W63" s="2"/>
      <c r="X63" s="6">
        <f t="shared" si="58"/>
        <v>1108.92</v>
      </c>
      <c r="Y63" s="2"/>
      <c r="Z63" s="7">
        <f t="shared" si="59"/>
        <v>4.0869789555154243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3589.7700000000004</v>
      </c>
      <c r="E64" s="1"/>
      <c r="F64" s="5">
        <f t="shared" si="52"/>
        <v>4.0578443779146434E-2</v>
      </c>
      <c r="G64" s="1"/>
      <c r="H64" s="1">
        <f>SUM(OSRRefH22_13x_0)</f>
        <v>6392.76</v>
      </c>
      <c r="I64" s="1"/>
      <c r="J64" s="5">
        <f t="shared" si="53"/>
        <v>0.48103443216166614</v>
      </c>
      <c r="K64" s="1"/>
      <c r="L64" s="1">
        <f t="shared" si="54"/>
        <v>-2802.99</v>
      </c>
      <c r="M64" s="1"/>
      <c r="N64" s="5">
        <f t="shared" si="55"/>
        <v>-0.43846319899386177</v>
      </c>
      <c r="O64" s="14"/>
      <c r="P64" s="1">
        <f>SUM(OSRRefP22_13x_0)</f>
        <v>8269.82</v>
      </c>
      <c r="Q64" s="1"/>
      <c r="R64" s="5">
        <f t="shared" si="56"/>
        <v>3.9493409352080518E-2</v>
      </c>
      <c r="S64" s="1"/>
      <c r="T64" s="1">
        <f>SUM(OSRRefT22_13x_0)</f>
        <v>7486.5</v>
      </c>
      <c r="U64" s="1"/>
      <c r="V64" s="5">
        <f t="shared" si="57"/>
        <v>0.28053825572767949</v>
      </c>
      <c r="W64" s="1"/>
      <c r="X64" s="1">
        <f t="shared" si="58"/>
        <v>783.31999999999971</v>
      </c>
      <c r="Y64" s="1"/>
      <c r="Z64" s="5">
        <f t="shared" si="59"/>
        <v>0.10463100247111463</v>
      </c>
    </row>
    <row r="65" spans="1:26" s="24" customFormat="1" hidden="1" outlineLevel="2" x14ac:dyDescent="0.25">
      <c r="A65" s="29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52"/>
        <v>0</v>
      </c>
      <c r="G65" s="2"/>
      <c r="H65" s="6">
        <v>55.13</v>
      </c>
      <c r="I65" s="2"/>
      <c r="J65" s="7">
        <f t="shared" si="53"/>
        <v>4.1483534881761016E-3</v>
      </c>
      <c r="K65" s="2"/>
      <c r="L65" s="6">
        <f t="shared" si="54"/>
        <v>-55.13</v>
      </c>
      <c r="M65" s="2"/>
      <c r="N65" s="7">
        <f t="shared" si="55"/>
        <v>-1</v>
      </c>
      <c r="O65" s="11"/>
      <c r="P65" s="6"/>
      <c r="Q65" s="2"/>
      <c r="R65" s="7">
        <f t="shared" si="56"/>
        <v>0</v>
      </c>
      <c r="S65" s="2"/>
      <c r="T65" s="6">
        <v>310.91000000000003</v>
      </c>
      <c r="U65" s="2"/>
      <c r="V65" s="7">
        <f t="shared" si="57"/>
        <v>1.1650590942134886E-2</v>
      </c>
      <c r="W65" s="2"/>
      <c r="X65" s="6">
        <f t="shared" si="58"/>
        <v>-310.91000000000003</v>
      </c>
      <c r="Y65" s="2"/>
      <c r="Z65" s="7">
        <f t="shared" si="59"/>
        <v>-1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2"/>
        <v>0</v>
      </c>
      <c r="G66" s="2"/>
      <c r="H66" s="6">
        <v>5932</v>
      </c>
      <c r="I66" s="2"/>
      <c r="J66" s="7">
        <f t="shared" si="53"/>
        <v>0.44636373828878345</v>
      </c>
      <c r="K66" s="2"/>
      <c r="L66" s="6">
        <f t="shared" si="54"/>
        <v>-5932</v>
      </c>
      <c r="M66" s="2"/>
      <c r="N66" s="7">
        <f t="shared" si="55"/>
        <v>-1</v>
      </c>
      <c r="O66" s="11"/>
      <c r="P66" s="6"/>
      <c r="Q66" s="2"/>
      <c r="R66" s="7">
        <f t="shared" si="56"/>
        <v>0</v>
      </c>
      <c r="S66" s="2"/>
      <c r="T66" s="6">
        <v>6753.97</v>
      </c>
      <c r="U66" s="2"/>
      <c r="V66" s="7">
        <f t="shared" si="57"/>
        <v>0.25308848768277237</v>
      </c>
      <c r="W66" s="2"/>
      <c r="X66" s="6">
        <f t="shared" si="58"/>
        <v>-6753.97</v>
      </c>
      <c r="Y66" s="2"/>
      <c r="Z66" s="7">
        <f t="shared" si="59"/>
        <v>-1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6">
        <v>804.12</v>
      </c>
      <c r="E67" s="2"/>
      <c r="F67" s="7">
        <f t="shared" si="52"/>
        <v>9.0897016275937534E-3</v>
      </c>
      <c r="G67" s="2"/>
      <c r="H67" s="6">
        <v>268.05</v>
      </c>
      <c r="I67" s="2"/>
      <c r="J67" s="7">
        <f t="shared" si="53"/>
        <v>2.0169892118730347E-2</v>
      </c>
      <c r="K67" s="2"/>
      <c r="L67" s="6">
        <f t="shared" si="54"/>
        <v>536.06999999999994</v>
      </c>
      <c r="M67" s="2"/>
      <c r="N67" s="7">
        <f t="shared" si="55"/>
        <v>1.9998880805819808</v>
      </c>
      <c r="O67" s="11"/>
      <c r="P67" s="6">
        <v>3603.97</v>
      </c>
      <c r="Q67" s="2"/>
      <c r="R67" s="7">
        <f t="shared" si="56"/>
        <v>1.7211143955082168E-2</v>
      </c>
      <c r="S67" s="2"/>
      <c r="T67" s="6">
        <v>268.05</v>
      </c>
      <c r="U67" s="2"/>
      <c r="V67" s="7">
        <f t="shared" si="57"/>
        <v>1.0044517391011084E-2</v>
      </c>
      <c r="W67" s="2"/>
      <c r="X67" s="6">
        <f t="shared" si="58"/>
        <v>3335.9199999999996</v>
      </c>
      <c r="Y67" s="2"/>
      <c r="Z67" s="7">
        <f t="shared" si="59"/>
        <v>12.445140831934339</v>
      </c>
    </row>
    <row r="68" spans="1:26" s="24" customFormat="1" hidden="1" outlineLevel="2" x14ac:dyDescent="0.25">
      <c r="A68" s="29"/>
      <c r="B68" s="11" t="str">
        <f>CONCATENATE("          ", "6239", " - ", "KITCHEN SUPPLIES")</f>
        <v xml:space="preserve">          6239 - KITCHEN SUPPLIES</v>
      </c>
      <c r="C68" s="11"/>
      <c r="D68" s="6">
        <v>235.06</v>
      </c>
      <c r="E68" s="2"/>
      <c r="F68" s="7">
        <f t="shared" si="52"/>
        <v>2.6570975284561853E-3</v>
      </c>
      <c r="G68" s="2"/>
      <c r="H68" s="6">
        <v>19.829999999999998</v>
      </c>
      <c r="I68" s="2"/>
      <c r="J68" s="7">
        <f t="shared" si="53"/>
        <v>1.4921431102944329E-3</v>
      </c>
      <c r="K68" s="2"/>
      <c r="L68" s="6">
        <f t="shared" si="54"/>
        <v>215.23000000000002</v>
      </c>
      <c r="M68" s="2"/>
      <c r="N68" s="7">
        <f t="shared" si="55"/>
        <v>10.853756933938479</v>
      </c>
      <c r="O68" s="11"/>
      <c r="P68" s="6">
        <v>1153.27</v>
      </c>
      <c r="Q68" s="2"/>
      <c r="R68" s="7">
        <f t="shared" si="56"/>
        <v>5.5075641553835389E-3</v>
      </c>
      <c r="S68" s="2"/>
      <c r="T68" s="6">
        <v>19.829999999999998</v>
      </c>
      <c r="U68" s="2"/>
      <c r="V68" s="7">
        <f t="shared" si="57"/>
        <v>7.4308069339209019E-4</v>
      </c>
      <c r="W68" s="2"/>
      <c r="X68" s="6">
        <f t="shared" si="58"/>
        <v>1133.44</v>
      </c>
      <c r="Y68" s="2"/>
      <c r="Z68" s="7">
        <f t="shared" si="59"/>
        <v>57.15784165405951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6">
        <v>2550.59</v>
      </c>
      <c r="E69" s="2"/>
      <c r="F69" s="7">
        <f t="shared" si="52"/>
        <v>2.8831644623096495E-2</v>
      </c>
      <c r="G69" s="2"/>
      <c r="H69" s="6">
        <v>117.75</v>
      </c>
      <c r="I69" s="2"/>
      <c r="J69" s="7">
        <f t="shared" si="53"/>
        <v>8.8603051556817684E-3</v>
      </c>
      <c r="K69" s="2"/>
      <c r="L69" s="6">
        <f t="shared" si="54"/>
        <v>2432.84</v>
      </c>
      <c r="M69" s="2"/>
      <c r="N69" s="7">
        <f t="shared" si="55"/>
        <v>20.661061571125266</v>
      </c>
      <c r="O69" s="11"/>
      <c r="P69" s="6">
        <v>3026.35</v>
      </c>
      <c r="Q69" s="2"/>
      <c r="R69" s="7">
        <f t="shared" si="56"/>
        <v>1.4452657904606011E-2</v>
      </c>
      <c r="S69" s="2"/>
      <c r="T69" s="6">
        <v>133.74</v>
      </c>
      <c r="U69" s="2"/>
      <c r="V69" s="7">
        <f t="shared" si="57"/>
        <v>5.0115790183690445E-3</v>
      </c>
      <c r="W69" s="2"/>
      <c r="X69" s="6">
        <f t="shared" si="58"/>
        <v>2892.6099999999997</v>
      </c>
      <c r="Y69" s="2"/>
      <c r="Z69" s="7">
        <f t="shared" si="59"/>
        <v>21.628607746373557</v>
      </c>
    </row>
    <row r="70" spans="1:26" s="24" customFormat="1" hidden="1" outlineLevel="2" x14ac:dyDescent="0.25">
      <c r="A70" s="29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486.23</v>
      </c>
      <c r="Q70" s="2"/>
      <c r="R70" s="7">
        <f t="shared" si="56"/>
        <v>2.3220433370087995E-3</v>
      </c>
      <c r="S70" s="2"/>
      <c r="T70" s="6"/>
      <c r="U70" s="2"/>
      <c r="V70" s="7">
        <f t="shared" si="57"/>
        <v>0</v>
      </c>
      <c r="W70" s="2"/>
      <c r="X70" s="6">
        <f t="shared" si="58"/>
        <v>486.23</v>
      </c>
      <c r="Y70" s="2"/>
      <c r="Z70" s="7">
        <f t="shared" si="59"/>
        <v>0</v>
      </c>
    </row>
    <row r="71" spans="1:26" s="28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411.65</v>
      </c>
      <c r="E71" s="1"/>
      <c r="F71" s="5">
        <f t="shared" ref="F71:F74" si="60">IF(D$12=0,0,D71/D$12)</f>
        <v>4.6532553288053625E-3</v>
      </c>
      <c r="G71" s="1"/>
      <c r="H71" s="1">
        <f>SUM(OSRRefH22_14x_0)</f>
        <v>320</v>
      </c>
      <c r="I71" s="1"/>
      <c r="J71" s="5">
        <f t="shared" ref="J71:J74" si="61">IF(H$12=0,0,H71/H$12)</f>
        <v>2.4078960932638352E-2</v>
      </c>
      <c r="K71" s="1"/>
      <c r="L71" s="1">
        <f t="shared" ref="L71:L74" si="62">+D71-H71</f>
        <v>91.649999999999977</v>
      </c>
      <c r="M71" s="1"/>
      <c r="N71" s="5">
        <f t="shared" ref="N71:N74" si="63">IF(H71=0,0,L71/H71)</f>
        <v>0.28640624999999992</v>
      </c>
      <c r="O71" s="14"/>
      <c r="P71" s="1">
        <f>SUM(OSRRefP22_14x_0)</f>
        <v>1196.48</v>
      </c>
      <c r="Q71" s="1"/>
      <c r="R71" s="5">
        <f t="shared" ref="R71:R74" si="64">IF(P$12=0,0,P71/P$12)</f>
        <v>5.7139181290012725E-3</v>
      </c>
      <c r="S71" s="1"/>
      <c r="T71" s="1">
        <f>SUM(OSRRefT22_14x_0)</f>
        <v>1134</v>
      </c>
      <c r="U71" s="1"/>
      <c r="V71" s="5">
        <f t="shared" ref="V71:V74" si="65">IF(T$12=0,0,T71/T$12)</f>
        <v>4.2493873237853273E-2</v>
      </c>
      <c r="W71" s="1"/>
      <c r="X71" s="1">
        <f t="shared" ref="X71:X74" si="66">+P71-T71</f>
        <v>62.480000000000018</v>
      </c>
      <c r="Y71" s="1"/>
      <c r="Z71" s="5">
        <f t="shared" ref="Z71:Z74" si="67">IF(T71=0,0,X71/T71)</f>
        <v>5.5097001763668448E-2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6">
        <v>411.65</v>
      </c>
      <c r="E72" s="2"/>
      <c r="F72" s="7">
        <f t="shared" si="60"/>
        <v>4.6532553288053625E-3</v>
      </c>
      <c r="G72" s="2"/>
      <c r="H72" s="6">
        <v>320</v>
      </c>
      <c r="I72" s="2"/>
      <c r="J72" s="7">
        <f t="shared" si="61"/>
        <v>2.4078960932638352E-2</v>
      </c>
      <c r="K72" s="2"/>
      <c r="L72" s="6">
        <f t="shared" si="62"/>
        <v>91.649999999999977</v>
      </c>
      <c r="M72" s="2"/>
      <c r="N72" s="7">
        <f t="shared" si="63"/>
        <v>0.28640624999999992</v>
      </c>
      <c r="O72" s="11"/>
      <c r="P72" s="6">
        <v>1196.48</v>
      </c>
      <c r="Q72" s="2"/>
      <c r="R72" s="7">
        <f t="shared" si="64"/>
        <v>5.7139181290012725E-3</v>
      </c>
      <c r="S72" s="2"/>
      <c r="T72" s="6">
        <v>1134</v>
      </c>
      <c r="U72" s="2"/>
      <c r="V72" s="7">
        <f t="shared" si="65"/>
        <v>4.2493873237853273E-2</v>
      </c>
      <c r="W72" s="2"/>
      <c r="X72" s="6">
        <f t="shared" si="66"/>
        <v>62.480000000000018</v>
      </c>
      <c r="Y72" s="2"/>
      <c r="Z72" s="7">
        <f t="shared" si="67"/>
        <v>5.5097001763668448E-2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SUM(OSRRefD22_15x_0)</f>
        <v>0</v>
      </c>
      <c r="E73" s="1"/>
      <c r="F73" s="5">
        <f t="shared" si="60"/>
        <v>0</v>
      </c>
      <c r="G73" s="1"/>
      <c r="H73" s="1">
        <f>SUM(OSRRefH22_15x_0)</f>
        <v>2300</v>
      </c>
      <c r="I73" s="1"/>
      <c r="J73" s="5">
        <f t="shared" si="61"/>
        <v>0.17306753170333816</v>
      </c>
      <c r="K73" s="1"/>
      <c r="L73" s="1">
        <f t="shared" si="62"/>
        <v>-2300</v>
      </c>
      <c r="M73" s="1"/>
      <c r="N73" s="5">
        <f t="shared" si="63"/>
        <v>-1</v>
      </c>
      <c r="O73" s="14"/>
      <c r="P73" s="1">
        <f>SUM(OSRRefP22_15x_0)</f>
        <v>7200</v>
      </c>
      <c r="Q73" s="1"/>
      <c r="R73" s="5">
        <f t="shared" si="64"/>
        <v>3.4384369591475963E-2</v>
      </c>
      <c r="S73" s="1"/>
      <c r="T73" s="1">
        <f>SUM(OSRRefT22_15x_0)</f>
        <v>9200</v>
      </c>
      <c r="U73" s="1"/>
      <c r="V73" s="5">
        <f t="shared" si="65"/>
        <v>0.34474747247641102</v>
      </c>
      <c r="W73" s="1"/>
      <c r="X73" s="1">
        <f t="shared" si="66"/>
        <v>-2000</v>
      </c>
      <c r="Y73" s="1"/>
      <c r="Z73" s="5">
        <f t="shared" si="67"/>
        <v>-0.21739130434782608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60"/>
        <v>0</v>
      </c>
      <c r="G74" s="2"/>
      <c r="H74" s="6">
        <v>2300</v>
      </c>
      <c r="I74" s="2"/>
      <c r="J74" s="7">
        <f t="shared" si="61"/>
        <v>0.17306753170333816</v>
      </c>
      <c r="K74" s="2"/>
      <c r="L74" s="6">
        <f t="shared" si="62"/>
        <v>-2300</v>
      </c>
      <c r="M74" s="2"/>
      <c r="N74" s="7">
        <f t="shared" si="63"/>
        <v>-1</v>
      </c>
      <c r="O74" s="11"/>
      <c r="P74" s="6">
        <v>7200</v>
      </c>
      <c r="Q74" s="2"/>
      <c r="R74" s="7">
        <f t="shared" si="64"/>
        <v>3.4384369591475963E-2</v>
      </c>
      <c r="S74" s="2"/>
      <c r="T74" s="6">
        <v>9200</v>
      </c>
      <c r="U74" s="2"/>
      <c r="V74" s="7">
        <f t="shared" si="65"/>
        <v>0.34474747247641102</v>
      </c>
      <c r="W74" s="2"/>
      <c r="X74" s="6">
        <f t="shared" si="66"/>
        <v>-2000</v>
      </c>
      <c r="Y74" s="2"/>
      <c r="Z74" s="7">
        <f t="shared" si="67"/>
        <v>-0.21739130434782608</v>
      </c>
    </row>
    <row r="75" spans="1:26" s="56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5" t="s">
        <v>292</v>
      </c>
      <c r="C76" s="10"/>
      <c r="D76" s="4">
        <f>SUM(OSRRefD25x_0)</f>
        <v>0</v>
      </c>
      <c r="E76" s="4"/>
      <c r="F76" s="12">
        <f t="shared" ref="F76:F77" si="68">IF(D$12=0,0,D76/D$12)</f>
        <v>0</v>
      </c>
      <c r="G76" s="4"/>
      <c r="H76" s="4">
        <f>SUM(OSRRefH25x_0)</f>
        <v>0</v>
      </c>
      <c r="I76" s="4"/>
      <c r="J76" s="12">
        <f t="shared" ref="J76:J77" si="69">IF(H$12=0,0,H76/H$12)</f>
        <v>0</v>
      </c>
      <c r="K76" s="4"/>
      <c r="L76" s="4">
        <f t="shared" ref="L76:L77" si="70">+D76-H76</f>
        <v>0</v>
      </c>
      <c r="M76" s="4"/>
      <c r="N76" s="12">
        <f t="shared" ref="N76:N77" si="71">IF(H76=0,0,L76/H76)</f>
        <v>0</v>
      </c>
      <c r="O76" s="10"/>
      <c r="P76" s="4">
        <f>SUM(OSRRefP25x_0)</f>
        <v>2.33</v>
      </c>
      <c r="Q76" s="4"/>
      <c r="R76" s="12">
        <f t="shared" ref="R76:R77" si="72">IF(P$12=0,0,P76/P$12)</f>
        <v>1.1127164048352638E-5</v>
      </c>
      <c r="S76" s="4"/>
      <c r="T76" s="4">
        <f>SUM(OSRRefT25x_0)</f>
        <v>0</v>
      </c>
      <c r="U76" s="4"/>
      <c r="V76" s="12">
        <f t="shared" ref="V76:V77" si="73">IF(T$12=0,0,T76/T$12)</f>
        <v>0</v>
      </c>
      <c r="W76" s="4"/>
      <c r="X76" s="4">
        <f t="shared" ref="X76:X77" si="74">+P76-T76</f>
        <v>2.33</v>
      </c>
      <c r="Y76" s="4"/>
      <c r="Z76" s="12">
        <f t="shared" ref="Z76:Z77" si="75">IF(T76=0,0,X76/T76)</f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0</f>
        <v>0</v>
      </c>
      <c r="E77" s="2"/>
      <c r="F77" s="19">
        <f t="shared" si="68"/>
        <v>0</v>
      </c>
      <c r="G77" s="2"/>
      <c r="H77" s="2">
        <f>0</f>
        <v>0</v>
      </c>
      <c r="I77" s="2"/>
      <c r="J77" s="19">
        <f t="shared" si="69"/>
        <v>0</v>
      </c>
      <c r="K77" s="2"/>
      <c r="L77" s="2">
        <f t="shared" si="70"/>
        <v>0</v>
      </c>
      <c r="M77" s="2"/>
      <c r="N77" s="19">
        <f t="shared" si="71"/>
        <v>0</v>
      </c>
      <c r="O77" s="11"/>
      <c r="P77" s="2">
        <f>--2.33</f>
        <v>2.33</v>
      </c>
      <c r="Q77" s="2"/>
      <c r="R77" s="19">
        <f t="shared" si="72"/>
        <v>1.1127164048352638E-5</v>
      </c>
      <c r="S77" s="2"/>
      <c r="T77" s="2">
        <f>0</f>
        <v>0</v>
      </c>
      <c r="U77" s="2"/>
      <c r="V77" s="19">
        <f t="shared" si="73"/>
        <v>0</v>
      </c>
      <c r="W77" s="2"/>
      <c r="X77" s="2">
        <f t="shared" si="74"/>
        <v>2.33</v>
      </c>
      <c r="Y77" s="2"/>
      <c r="Z77" s="19">
        <f t="shared" si="75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276</v>
      </c>
      <c r="C79" s="26"/>
      <c r="D79" s="22">
        <f>+D20-D22+D76</f>
        <v>-32006.930000000008</v>
      </c>
      <c r="E79" s="13"/>
      <c r="F79" s="20">
        <f>IF(D$12=0,0,D79/D$12)</f>
        <v>-0.36180351653394943</v>
      </c>
      <c r="G79" s="13"/>
      <c r="H79" s="22">
        <f>+H20-H22+H76</f>
        <v>-68375.940000000031</v>
      </c>
      <c r="I79" s="13"/>
      <c r="J79" s="20">
        <f>IF(H$12=0,0,H79/H$12)</f>
        <v>-5.1450674624763275</v>
      </c>
      <c r="K79" s="15"/>
      <c r="L79" s="22">
        <f>+D79-H79</f>
        <v>36369.010000000024</v>
      </c>
      <c r="M79" s="15"/>
      <c r="N79" s="20">
        <f>IF(H79=0,0,L79/H79)</f>
        <v>-0.53189776988806303</v>
      </c>
      <c r="O79" s="25"/>
      <c r="P79" s="22">
        <f>+P20-P22+P76</f>
        <v>-168090.44</v>
      </c>
      <c r="Q79" s="13"/>
      <c r="R79" s="20">
        <f>IF(P$12=0,0,P79/P$12)</f>
        <v>-0.80273386302136318</v>
      </c>
      <c r="S79" s="13"/>
      <c r="T79" s="22">
        <f>+T20-T22+T76</f>
        <v>-251040.17999999991</v>
      </c>
      <c r="U79" s="13"/>
      <c r="V79" s="20">
        <f>IF(T$12=0,0,T79/T$12)</f>
        <v>-9.4071160375025258</v>
      </c>
      <c r="W79" s="15"/>
      <c r="X79" s="22">
        <f>+P79-T79</f>
        <v>82949.739999999903</v>
      </c>
      <c r="Y79" s="15"/>
      <c r="Z79" s="20">
        <f>IF(T79=0,0,X79/T79)</f>
        <v>-0.33042415759899446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127</v>
      </c>
      <c r="C81" s="10"/>
      <c r="D81" s="4">
        <v>9236.1200000000008</v>
      </c>
      <c r="E81" s="4"/>
      <c r="F81" s="12">
        <f>IF(D$12=0,0,D81/D$12)</f>
        <v>0.10440428666946629</v>
      </c>
      <c r="G81" s="4"/>
      <c r="H81" s="4">
        <v>3299.02</v>
      </c>
      <c r="I81" s="4"/>
      <c r="J81" s="12">
        <f>IF(H$12=0,0,H81/H$12)</f>
        <v>0.24824054279997682</v>
      </c>
      <c r="K81" s="4"/>
      <c r="L81" s="4">
        <f>+D81-H81</f>
        <v>5937.1</v>
      </c>
      <c r="M81" s="4"/>
      <c r="N81" s="12">
        <f>IF(H81=0,0,L81/H81)</f>
        <v>1.7996556553158212</v>
      </c>
      <c r="O81" s="10"/>
      <c r="P81" s="4">
        <v>24204.62</v>
      </c>
      <c r="Q81" s="4"/>
      <c r="R81" s="12">
        <f>IF(P$12=0,0,P81/P$12)</f>
        <v>0.11559174998628206</v>
      </c>
      <c r="S81" s="4"/>
      <c r="T81" s="4">
        <v>5780.81</v>
      </c>
      <c r="U81" s="4"/>
      <c r="V81" s="12">
        <f>IF(T$12=0,0,T81/T$12)</f>
        <v>0.21662169960503933</v>
      </c>
      <c r="W81" s="4"/>
      <c r="X81" s="4">
        <f>+P81-T81</f>
        <v>18423.809999999998</v>
      </c>
      <c r="Y81" s="4"/>
      <c r="Z81" s="12">
        <f>IF(T81=0,0,X81/T81)</f>
        <v>3.1870637505816655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125</v>
      </c>
      <c r="C83" s="26"/>
      <c r="D83" s="33">
        <f>+D79-D81</f>
        <v>-41243.05000000001</v>
      </c>
      <c r="E83" s="13"/>
      <c r="F83" s="31">
        <f>IF(D$12=0,0,D83/D$12)</f>
        <v>-0.4662078032034157</v>
      </c>
      <c r="G83" s="13"/>
      <c r="H83" s="33">
        <f>+H79-H81</f>
        <v>-71674.960000000036</v>
      </c>
      <c r="I83" s="13"/>
      <c r="J83" s="31">
        <f>IF(H$12=0,0,H83/H$12)</f>
        <v>-5.3933080052763049</v>
      </c>
      <c r="K83" s="15"/>
      <c r="L83" s="33">
        <f>D83-H83</f>
        <v>30431.910000000025</v>
      </c>
      <c r="M83" s="15"/>
      <c r="N83" s="31">
        <f>IF(H83=0,0,L83/H83)</f>
        <v>-0.42458216928199205</v>
      </c>
      <c r="O83" s="25"/>
      <c r="P83" s="33">
        <f>+P79-P81</f>
        <v>-192295.06</v>
      </c>
      <c r="Q83" s="13"/>
      <c r="R83" s="31">
        <f>IF(P$12=0,0,P83/P$12)</f>
        <v>-0.91832561300764526</v>
      </c>
      <c r="S83" s="13"/>
      <c r="T83" s="33">
        <f>+T79-T81</f>
        <v>-256820.9899999999</v>
      </c>
      <c r="U83" s="13"/>
      <c r="V83" s="31">
        <f>IF(T$12=0,0,T83/T$12)</f>
        <v>-9.6237377371075645</v>
      </c>
      <c r="W83" s="15"/>
      <c r="X83" s="33">
        <f>P83-T83</f>
        <v>64525.929999999906</v>
      </c>
      <c r="Y83" s="15"/>
      <c r="Z83" s="31">
        <f>IF(T83=0,0,X83/T83)</f>
        <v>-0.25124866156773218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293</v>
      </c>
      <c r="C86" s="26"/>
      <c r="D86" s="34">
        <f>SUM(D83:D85)</f>
        <v>-41243.05000000001</v>
      </c>
      <c r="E86" s="13"/>
      <c r="F86" s="30">
        <f>IF(D$12=0,0,D86/D$12)</f>
        <v>-0.4662078032034157</v>
      </c>
      <c r="G86" s="13"/>
      <c r="H86" s="34">
        <f>SUM(H83:H85)</f>
        <v>-71674.960000000036</v>
      </c>
      <c r="I86" s="13"/>
      <c r="J86" s="30">
        <f>IF(H$12=0,0,H86/H$12)</f>
        <v>-5.3933080052763049</v>
      </c>
      <c r="K86" s="15"/>
      <c r="L86" s="34">
        <f>+D86-H86</f>
        <v>30431.910000000025</v>
      </c>
      <c r="M86" s="15"/>
      <c r="N86" s="30">
        <f>IF(H86=0,0,L86/H86)</f>
        <v>-0.42458216928199205</v>
      </c>
      <c r="O86" s="25"/>
      <c r="P86" s="34">
        <f>SUM(P83:P85)</f>
        <v>-192295.06</v>
      </c>
      <c r="Q86" s="13"/>
      <c r="R86" s="30">
        <f>IF(P$12=0,0,P86/P$12)</f>
        <v>-0.91832561300764526</v>
      </c>
      <c r="S86" s="13"/>
      <c r="T86" s="34">
        <f>SUM(T83:T85)</f>
        <v>-256820.9899999999</v>
      </c>
      <c r="U86" s="13"/>
      <c r="V86" s="30">
        <f>IF(T$12=0,0,T86/T$12)</f>
        <v>-9.6237377371075645</v>
      </c>
      <c r="W86" s="15"/>
      <c r="X86" s="34">
        <f>+P86-T86</f>
        <v>64525.929999999906</v>
      </c>
      <c r="Y86" s="15"/>
      <c r="Z86" s="30">
        <f>IF(T86=0,0,X86/T86)</f>
        <v>-0.25124866156773218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1">
        <v>44517.967041516204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7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8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256</v>
      </c>
      <c r="C14" s="10"/>
      <c r="D14" s="4">
        <f>SUM(OSRRefD16x_0)</f>
        <v>1837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1837</v>
      </c>
      <c r="M14" s="4"/>
      <c r="N14" s="12">
        <f t="shared" ref="N14:N15" si="3">IF(H14=0,0,L14/H14)</f>
        <v>0</v>
      </c>
      <c r="O14" s="10"/>
      <c r="P14" s="4">
        <f>SUM(OSRRefP16x_0)</f>
        <v>1126.1199999999999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1126.1199999999999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>
        <v>1837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1837</v>
      </c>
      <c r="M15" s="2"/>
      <c r="N15" s="19">
        <f t="shared" si="3"/>
        <v>0</v>
      </c>
      <c r="O15" s="11"/>
      <c r="P15" s="2">
        <v>1126.1199999999999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1126.1199999999999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D12-D14</f>
        <v>-1837</v>
      </c>
      <c r="E17" s="13"/>
      <c r="F17" s="20">
        <f>IF(D$12=0,0,D17/D$12)</f>
        <v>0</v>
      </c>
      <c r="G17" s="13"/>
      <c r="H17" s="22">
        <f>H12-H14</f>
        <v>0</v>
      </c>
      <c r="I17" s="13"/>
      <c r="J17" s="20">
        <f>IF(H$12=0,0,H17/H$12)</f>
        <v>0</v>
      </c>
      <c r="K17" s="15"/>
      <c r="L17" s="22">
        <f>+D17-H17</f>
        <v>-1837</v>
      </c>
      <c r="M17" s="15"/>
      <c r="N17" s="20">
        <f>IF(H17=0,0,L17/H17)</f>
        <v>0</v>
      </c>
      <c r="O17" s="25"/>
      <c r="P17" s="22">
        <f>P12-P14</f>
        <v>-1126.1199999999999</v>
      </c>
      <c r="Q17" s="13"/>
      <c r="R17" s="20">
        <f>IF(P$12=0,0,P17/P$12)</f>
        <v>0</v>
      </c>
      <c r="S17" s="13"/>
      <c r="T17" s="22">
        <f>T12-T14</f>
        <v>0</v>
      </c>
      <c r="U17" s="13"/>
      <c r="V17" s="20">
        <f>IF(T$12=0,0,T17/T$12)</f>
        <v>0</v>
      </c>
      <c r="W17" s="15"/>
      <c r="X17" s="22">
        <f>+P17-T17</f>
        <v>-1126.1199999999999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SUM(OSRRefD22x_0)</f>
        <v>12695.1</v>
      </c>
      <c r="E19" s="21"/>
      <c r="F19" s="36">
        <f t="shared" ref="F19:F28" si="8">IF(D$12=0,0,D19/D$12)</f>
        <v>0</v>
      </c>
      <c r="G19" s="21"/>
      <c r="H19" s="21">
        <f>SUM(OSRRefH22x_0)</f>
        <v>6784.05</v>
      </c>
      <c r="I19" s="21"/>
      <c r="J19" s="36">
        <f t="shared" ref="J19:J28" si="9">IF(H$12=0,0,H19/H$12)</f>
        <v>0</v>
      </c>
      <c r="K19" s="4"/>
      <c r="L19" s="21">
        <f t="shared" ref="L19:L28" si="10">+D19-H19</f>
        <v>5911.05</v>
      </c>
      <c r="M19" s="4"/>
      <c r="N19" s="36">
        <f t="shared" ref="N19:N28" si="11">IF(H19=0,0,L19/H19)</f>
        <v>0.87131580692948907</v>
      </c>
      <c r="O19" s="10"/>
      <c r="P19" s="21">
        <f>SUM(OSRRefP22x_0)</f>
        <v>73933.569999999992</v>
      </c>
      <c r="Q19" s="21"/>
      <c r="R19" s="36">
        <f t="shared" ref="R19:R28" si="12">IF(P$12=0,0,P19/P$12)</f>
        <v>0</v>
      </c>
      <c r="S19" s="21"/>
      <c r="T19" s="21">
        <f>SUM(OSRRefT22x_0)</f>
        <v>38590.090000000004</v>
      </c>
      <c r="U19" s="21"/>
      <c r="V19" s="36">
        <f t="shared" ref="V19:V28" si="13">IF(T$12=0,0,T19/T$12)</f>
        <v>0</v>
      </c>
      <c r="W19" s="4"/>
      <c r="X19" s="21">
        <f t="shared" ref="X19:X28" si="14">+P19-T19</f>
        <v>35343.479999999989</v>
      </c>
      <c r="Y19" s="4"/>
      <c r="Z19" s="36">
        <f t="shared" ref="Z19:Z28" si="15">IF(T19=0,0,X19/T19)</f>
        <v>0.91586933329256259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122.28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122.28</v>
      </c>
      <c r="M20" s="1"/>
      <c r="N20" s="5">
        <f t="shared" si="11"/>
        <v>0</v>
      </c>
      <c r="O20" s="14"/>
      <c r="P20" s="1">
        <f>SUM(OSRRefP22_0x_0)</f>
        <v>14733.2</v>
      </c>
      <c r="Q20" s="1"/>
      <c r="R20" s="5">
        <f t="shared" si="12"/>
        <v>0</v>
      </c>
      <c r="S20" s="1"/>
      <c r="T20" s="1">
        <f>SUM(OSRRefT22_0x_0)</f>
        <v>6083.9599999999991</v>
      </c>
      <c r="U20" s="1"/>
      <c r="V20" s="5">
        <f t="shared" si="13"/>
        <v>0</v>
      </c>
      <c r="W20" s="1"/>
      <c r="X20" s="1">
        <f t="shared" si="14"/>
        <v>8649.2400000000016</v>
      </c>
      <c r="Y20" s="1"/>
      <c r="Z20" s="5">
        <f t="shared" si="15"/>
        <v>1.4216464276556722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122.28</v>
      </c>
      <c r="E21" s="2"/>
      <c r="F21" s="7">
        <f t="shared" si="8"/>
        <v>0</v>
      </c>
      <c r="G21" s="2"/>
      <c r="H21" s="6"/>
      <c r="I21" s="2"/>
      <c r="J21" s="7">
        <f t="shared" si="9"/>
        <v>0</v>
      </c>
      <c r="K21" s="2"/>
      <c r="L21" s="6">
        <f t="shared" si="10"/>
        <v>122.28</v>
      </c>
      <c r="M21" s="2"/>
      <c r="N21" s="7">
        <f t="shared" si="11"/>
        <v>0</v>
      </c>
      <c r="O21" s="11"/>
      <c r="P21" s="6">
        <v>1778.35</v>
      </c>
      <c r="Q21" s="2"/>
      <c r="R21" s="7">
        <f t="shared" si="12"/>
        <v>0</v>
      </c>
      <c r="S21" s="2"/>
      <c r="T21" s="6">
        <v>235.15</v>
      </c>
      <c r="U21" s="2"/>
      <c r="V21" s="7">
        <f t="shared" si="13"/>
        <v>0</v>
      </c>
      <c r="W21" s="2"/>
      <c r="X21" s="6">
        <f t="shared" si="14"/>
        <v>1543.1999999999998</v>
      </c>
      <c r="Y21" s="2"/>
      <c r="Z21" s="7">
        <f t="shared" si="15"/>
        <v>6.5626196045077601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>
        <v>770.48</v>
      </c>
      <c r="Q22" s="2"/>
      <c r="R22" s="7">
        <f t="shared" si="12"/>
        <v>0</v>
      </c>
      <c r="S22" s="2"/>
      <c r="T22" s="6"/>
      <c r="U22" s="2"/>
      <c r="V22" s="7">
        <f t="shared" si="13"/>
        <v>0</v>
      </c>
      <c r="W22" s="2"/>
      <c r="X22" s="6">
        <f t="shared" si="14"/>
        <v>770.48</v>
      </c>
      <c r="Y22" s="2"/>
      <c r="Z22" s="7">
        <f t="shared" si="15"/>
        <v>0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10053.08</v>
      </c>
      <c r="Q23" s="2"/>
      <c r="R23" s="7">
        <f t="shared" si="12"/>
        <v>0</v>
      </c>
      <c r="S23" s="2"/>
      <c r="T23" s="6">
        <v>4780.67</v>
      </c>
      <c r="U23" s="2"/>
      <c r="V23" s="7">
        <f t="shared" si="13"/>
        <v>0</v>
      </c>
      <c r="W23" s="2"/>
      <c r="X23" s="6">
        <f t="shared" si="14"/>
        <v>5272.41</v>
      </c>
      <c r="Y23" s="2"/>
      <c r="Z23" s="7">
        <f t="shared" si="15"/>
        <v>1.1028600593640641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0</v>
      </c>
      <c r="M24" s="2"/>
      <c r="N24" s="7">
        <f t="shared" si="11"/>
        <v>0</v>
      </c>
      <c r="O24" s="11"/>
      <c r="P24" s="6">
        <v>57.01</v>
      </c>
      <c r="Q24" s="2"/>
      <c r="R24" s="7">
        <f t="shared" si="12"/>
        <v>0</v>
      </c>
      <c r="S24" s="2"/>
      <c r="T24" s="6"/>
      <c r="U24" s="2"/>
      <c r="V24" s="7">
        <f t="shared" si="13"/>
        <v>0</v>
      </c>
      <c r="W24" s="2"/>
      <c r="X24" s="6">
        <f t="shared" si="14"/>
        <v>57.01</v>
      </c>
      <c r="Y24" s="2"/>
      <c r="Z24" s="7">
        <f t="shared" si="15"/>
        <v>0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/>
      <c r="Q25" s="2"/>
      <c r="R25" s="7">
        <f t="shared" si="12"/>
        <v>0</v>
      </c>
      <c r="S25" s="2"/>
      <c r="T25" s="6">
        <v>678.15</v>
      </c>
      <c r="U25" s="2"/>
      <c r="V25" s="7">
        <f t="shared" si="13"/>
        <v>0</v>
      </c>
      <c r="W25" s="2"/>
      <c r="X25" s="6">
        <f t="shared" si="14"/>
        <v>-678.15</v>
      </c>
      <c r="Y25" s="2"/>
      <c r="Z25" s="7">
        <f t="shared" si="15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>
        <v>711.32</v>
      </c>
      <c r="Q26" s="2"/>
      <c r="R26" s="7">
        <f t="shared" si="12"/>
        <v>0</v>
      </c>
      <c r="S26" s="2"/>
      <c r="T26" s="6">
        <v>248.21</v>
      </c>
      <c r="U26" s="2"/>
      <c r="V26" s="7">
        <f t="shared" si="13"/>
        <v>0</v>
      </c>
      <c r="W26" s="2"/>
      <c r="X26" s="6">
        <f t="shared" si="14"/>
        <v>463.11</v>
      </c>
      <c r="Y26" s="2"/>
      <c r="Z26" s="7">
        <f t="shared" si="15"/>
        <v>1.865799121711454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1"/>
      <c r="P27" s="6">
        <v>673.46</v>
      </c>
      <c r="Q27" s="2"/>
      <c r="R27" s="7">
        <f t="shared" si="12"/>
        <v>0</v>
      </c>
      <c r="S27" s="2"/>
      <c r="T27" s="6">
        <v>141.78</v>
      </c>
      <c r="U27" s="2"/>
      <c r="V27" s="7">
        <f t="shared" si="13"/>
        <v>0</v>
      </c>
      <c r="W27" s="2"/>
      <c r="X27" s="6">
        <f t="shared" si="14"/>
        <v>531.68000000000006</v>
      </c>
      <c r="Y27" s="2"/>
      <c r="Z27" s="7">
        <f t="shared" si="15"/>
        <v>3.7500352659049234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689.5</v>
      </c>
      <c r="Q28" s="2"/>
      <c r="R28" s="7">
        <f t="shared" si="12"/>
        <v>0</v>
      </c>
      <c r="S28" s="2"/>
      <c r="T28" s="6"/>
      <c r="U28" s="2"/>
      <c r="V28" s="7">
        <f t="shared" si="13"/>
        <v>0</v>
      </c>
      <c r="W28" s="2"/>
      <c r="X28" s="6">
        <f t="shared" si="14"/>
        <v>689.5</v>
      </c>
      <c r="Y28" s="2"/>
      <c r="Z28" s="7">
        <f t="shared" si="15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1598.5</v>
      </c>
      <c r="E29" s="1"/>
      <c r="F29" s="5">
        <f t="shared" ref="F29:F33" si="16">IF(D$12=0,0,D29/D$12)</f>
        <v>0</v>
      </c>
      <c r="G29" s="1"/>
      <c r="H29" s="1">
        <f>SUM(OSRRefH22_1x_0)</f>
        <v>0</v>
      </c>
      <c r="I29" s="1"/>
      <c r="J29" s="5">
        <f t="shared" ref="J29:J33" si="17">IF(H$12=0,0,H29/H$12)</f>
        <v>0</v>
      </c>
      <c r="K29" s="1"/>
      <c r="L29" s="1">
        <f t="shared" ref="L29:L33" si="18">+D29-H29</f>
        <v>1598.5</v>
      </c>
      <c r="M29" s="1"/>
      <c r="N29" s="5">
        <f t="shared" ref="N29:N33" si="19">IF(H29=0,0,L29/H29)</f>
        <v>0</v>
      </c>
      <c r="O29" s="14"/>
      <c r="P29" s="1">
        <f>SUM(OSRRefP22_1x_0)</f>
        <v>21623.61</v>
      </c>
      <c r="Q29" s="1"/>
      <c r="R29" s="5">
        <f t="shared" ref="R29:R33" si="20">IF(P$12=0,0,P29/P$12)</f>
        <v>0</v>
      </c>
      <c r="S29" s="1"/>
      <c r="T29" s="1">
        <f>SUM(OSRRefT22_1x_0)</f>
        <v>2151.69</v>
      </c>
      <c r="U29" s="1"/>
      <c r="V29" s="5">
        <f t="shared" ref="V29:V33" si="21">IF(T$12=0,0,T29/T$12)</f>
        <v>0</v>
      </c>
      <c r="W29" s="1"/>
      <c r="X29" s="1">
        <f t="shared" ref="X29:X33" si="22">+P29-T29</f>
        <v>19471.920000000002</v>
      </c>
      <c r="Y29" s="1"/>
      <c r="Z29" s="5">
        <f t="shared" ref="Z29:Z33" si="23">IF(T29=0,0,X29/T29)</f>
        <v>9.0495935752826853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16"/>
        <v>0</v>
      </c>
      <c r="G30" s="2"/>
      <c r="H30" s="6"/>
      <c r="I30" s="2"/>
      <c r="J30" s="7">
        <f t="shared" si="17"/>
        <v>0</v>
      </c>
      <c r="K30" s="2"/>
      <c r="L30" s="6">
        <f t="shared" si="18"/>
        <v>0</v>
      </c>
      <c r="M30" s="2"/>
      <c r="N30" s="7">
        <f t="shared" si="19"/>
        <v>0</v>
      </c>
      <c r="O30" s="11"/>
      <c r="P30" s="6"/>
      <c r="Q30" s="2"/>
      <c r="R30" s="7">
        <f t="shared" si="20"/>
        <v>0</v>
      </c>
      <c r="S30" s="2"/>
      <c r="T30" s="6">
        <v>2151.69</v>
      </c>
      <c r="U30" s="2"/>
      <c r="V30" s="7">
        <f t="shared" si="21"/>
        <v>0</v>
      </c>
      <c r="W30" s="2"/>
      <c r="X30" s="6">
        <f t="shared" si="22"/>
        <v>-2151.69</v>
      </c>
      <c r="Y30" s="2"/>
      <c r="Z30" s="7">
        <f t="shared" si="23"/>
        <v>-1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6">
        <v>1598.5</v>
      </c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1598.5</v>
      </c>
      <c r="M31" s="2"/>
      <c r="N31" s="7">
        <f t="shared" si="19"/>
        <v>0</v>
      </c>
      <c r="O31" s="11"/>
      <c r="P31" s="6">
        <v>13377.56</v>
      </c>
      <c r="Q31" s="2"/>
      <c r="R31" s="7">
        <f t="shared" si="20"/>
        <v>0</v>
      </c>
      <c r="S31" s="2"/>
      <c r="T31" s="6"/>
      <c r="U31" s="2"/>
      <c r="V31" s="7">
        <f t="shared" si="21"/>
        <v>0</v>
      </c>
      <c r="W31" s="2"/>
      <c r="X31" s="6">
        <f t="shared" si="22"/>
        <v>13377.56</v>
      </c>
      <c r="Y31" s="2"/>
      <c r="Z31" s="7">
        <f t="shared" si="23"/>
        <v>0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8246.0499999999993</v>
      </c>
      <c r="Q32" s="2"/>
      <c r="R32" s="7">
        <f t="shared" si="20"/>
        <v>0</v>
      </c>
      <c r="S32" s="2"/>
      <c r="T32" s="6"/>
      <c r="U32" s="2"/>
      <c r="V32" s="7">
        <f t="shared" si="21"/>
        <v>0</v>
      </c>
      <c r="W32" s="2"/>
      <c r="X32" s="6">
        <f t="shared" si="22"/>
        <v>8246.0499999999993</v>
      </c>
      <c r="Y32" s="2"/>
      <c r="Z32" s="7">
        <f t="shared" si="23"/>
        <v>0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0</v>
      </c>
      <c r="Q33" s="2"/>
      <c r="R33" s="7">
        <f t="shared" si="20"/>
        <v>0</v>
      </c>
      <c r="S33" s="2"/>
      <c r="T33" s="6"/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8" customFormat="1" outlineLevel="1" collapsed="1" x14ac:dyDescent="0.25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40" si="24">IF(D$12=0,0,D34/D$12)</f>
        <v>0</v>
      </c>
      <c r="G34" s="1"/>
      <c r="H34" s="1">
        <f>SUM(OSRRefH22_2x_0)</f>
        <v>0</v>
      </c>
      <c r="I34" s="1"/>
      <c r="J34" s="5">
        <f t="shared" ref="J34:J40" si="25">IF(H$12=0,0,H34/H$12)</f>
        <v>0</v>
      </c>
      <c r="K34" s="1"/>
      <c r="L34" s="1">
        <f t="shared" ref="L34:L40" si="26">+D34-H34</f>
        <v>0</v>
      </c>
      <c r="M34" s="1"/>
      <c r="N34" s="5">
        <f t="shared" ref="N34:N40" si="27">IF(H34=0,0,L34/H34)</f>
        <v>0</v>
      </c>
      <c r="O34" s="14"/>
      <c r="P34" s="1">
        <f>SUM(OSRRefP22_2x_0)</f>
        <v>253.82</v>
      </c>
      <c r="Q34" s="1"/>
      <c r="R34" s="5">
        <f t="shared" ref="R34:R40" si="28">IF(P$12=0,0,P34/P$12)</f>
        <v>0</v>
      </c>
      <c r="S34" s="1"/>
      <c r="T34" s="1">
        <f>SUM(OSRRefT22_2x_0)</f>
        <v>0</v>
      </c>
      <c r="U34" s="1"/>
      <c r="V34" s="5">
        <f t="shared" ref="V34:V40" si="29">IF(T$12=0,0,T34/T$12)</f>
        <v>0</v>
      </c>
      <c r="W34" s="1"/>
      <c r="X34" s="1">
        <f t="shared" ref="X34:X40" si="30">+P34-T34</f>
        <v>253.82</v>
      </c>
      <c r="Y34" s="1"/>
      <c r="Z34" s="5">
        <f t="shared" ref="Z34:Z40" si="31">IF(T34=0,0,X34/T34)</f>
        <v>0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1"/>
      <c r="P35" s="6">
        <v>253.82</v>
      </c>
      <c r="Q35" s="2"/>
      <c r="R35" s="7">
        <f t="shared" si="28"/>
        <v>0</v>
      </c>
      <c r="S35" s="2"/>
      <c r="T35" s="6"/>
      <c r="U35" s="2"/>
      <c r="V35" s="7">
        <f t="shared" si="29"/>
        <v>0</v>
      </c>
      <c r="W35" s="2"/>
      <c r="X35" s="6">
        <f t="shared" si="30"/>
        <v>253.82</v>
      </c>
      <c r="Y35" s="2"/>
      <c r="Z35" s="7">
        <f t="shared" si="31"/>
        <v>0</v>
      </c>
    </row>
    <row r="36" spans="1:26" s="28" customFormat="1" outlineLevel="1" collapsed="1" x14ac:dyDescent="0.25">
      <c r="A36" s="27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</v>
      </c>
      <c r="E36" s="1"/>
      <c r="F36" s="5">
        <f t="shared" si="24"/>
        <v>0</v>
      </c>
      <c r="G36" s="1"/>
      <c r="H36" s="1">
        <f>SUM(OSRRefH22_3x_0)</f>
        <v>0</v>
      </c>
      <c r="I36" s="1"/>
      <c r="J36" s="5">
        <f t="shared" si="25"/>
        <v>0</v>
      </c>
      <c r="K36" s="1"/>
      <c r="L36" s="1">
        <f t="shared" si="26"/>
        <v>0</v>
      </c>
      <c r="M36" s="1"/>
      <c r="N36" s="5">
        <f t="shared" si="27"/>
        <v>0</v>
      </c>
      <c r="O36" s="14"/>
      <c r="P36" s="1">
        <f>SUM(OSRRefP22_3x_0)</f>
        <v>0.37</v>
      </c>
      <c r="Q36" s="1"/>
      <c r="R36" s="5">
        <f t="shared" si="28"/>
        <v>0</v>
      </c>
      <c r="S36" s="1"/>
      <c r="T36" s="1">
        <f>SUM(OSRRefT22_3x_0)</f>
        <v>0</v>
      </c>
      <c r="U36" s="1"/>
      <c r="V36" s="5">
        <f t="shared" si="29"/>
        <v>0</v>
      </c>
      <c r="W36" s="1"/>
      <c r="X36" s="1">
        <f t="shared" si="30"/>
        <v>0.37</v>
      </c>
      <c r="Y36" s="1"/>
      <c r="Z36" s="5">
        <f t="shared" si="31"/>
        <v>0</v>
      </c>
    </row>
    <row r="37" spans="1:26" s="24" customFormat="1" hidden="1" outlineLevel="2" x14ac:dyDescent="0.25">
      <c r="A37" s="29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24"/>
        <v>0</v>
      </c>
      <c r="G37" s="2"/>
      <c r="H37" s="6"/>
      <c r="I37" s="2"/>
      <c r="J37" s="7">
        <f t="shared" si="25"/>
        <v>0</v>
      </c>
      <c r="K37" s="2"/>
      <c r="L37" s="6">
        <f t="shared" si="26"/>
        <v>0</v>
      </c>
      <c r="M37" s="2"/>
      <c r="N37" s="7">
        <f t="shared" si="27"/>
        <v>0</v>
      </c>
      <c r="O37" s="11"/>
      <c r="P37" s="6">
        <v>0.37</v>
      </c>
      <c r="Q37" s="2"/>
      <c r="R37" s="7">
        <f t="shared" si="28"/>
        <v>0</v>
      </c>
      <c r="S37" s="2"/>
      <c r="T37" s="6"/>
      <c r="U37" s="2"/>
      <c r="V37" s="7">
        <f t="shared" si="29"/>
        <v>0</v>
      </c>
      <c r="W37" s="2"/>
      <c r="X37" s="6">
        <f t="shared" si="30"/>
        <v>0.37</v>
      </c>
      <c r="Y37" s="2"/>
      <c r="Z37" s="7">
        <f t="shared" si="31"/>
        <v>0</v>
      </c>
    </row>
    <row r="38" spans="1:26" s="28" customFormat="1" outlineLevel="1" collapsed="1" x14ac:dyDescent="0.25">
      <c r="A38" s="27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6701.08</v>
      </c>
      <c r="E38" s="1"/>
      <c r="F38" s="5">
        <f t="shared" si="24"/>
        <v>0</v>
      </c>
      <c r="G38" s="1"/>
      <c r="H38" s="1">
        <f>SUM(OSRRefH22_4x_0)</f>
        <v>6745.18</v>
      </c>
      <c r="I38" s="1"/>
      <c r="J38" s="5">
        <f t="shared" si="25"/>
        <v>0</v>
      </c>
      <c r="K38" s="1"/>
      <c r="L38" s="1">
        <f t="shared" si="26"/>
        <v>-44.100000000000364</v>
      </c>
      <c r="M38" s="1"/>
      <c r="N38" s="5">
        <f t="shared" si="27"/>
        <v>-6.5380019510228584E-3</v>
      </c>
      <c r="O38" s="14"/>
      <c r="P38" s="1">
        <f>SUM(OSRRefP22_4x_0)</f>
        <v>26892.46</v>
      </c>
      <c r="Q38" s="1"/>
      <c r="R38" s="5">
        <f t="shared" si="28"/>
        <v>0</v>
      </c>
      <c r="S38" s="1"/>
      <c r="T38" s="1">
        <f>SUM(OSRRefT22_4x_0)</f>
        <v>28277.83</v>
      </c>
      <c r="U38" s="1"/>
      <c r="V38" s="5">
        <f t="shared" si="29"/>
        <v>0</v>
      </c>
      <c r="W38" s="1"/>
      <c r="X38" s="1">
        <f t="shared" si="30"/>
        <v>-1385.3700000000026</v>
      </c>
      <c r="Y38" s="1"/>
      <c r="Z38" s="5">
        <f t="shared" si="31"/>
        <v>-4.8991383002161146E-2</v>
      </c>
    </row>
    <row r="39" spans="1:26" s="24" customFormat="1" hidden="1" outlineLevel="2" x14ac:dyDescent="0.25">
      <c r="A39" s="29"/>
      <c r="B39" s="11" t="str">
        <f>CONCATENATE("          ", "6321", " - ", "BUILDING DEPRECIATION")</f>
        <v xml:space="preserve">          6321 - BUILDING DEPRECIATION</v>
      </c>
      <c r="C39" s="11"/>
      <c r="D39" s="6">
        <v>6492.96</v>
      </c>
      <c r="E39" s="2"/>
      <c r="F39" s="7">
        <f t="shared" si="24"/>
        <v>0</v>
      </c>
      <c r="G39" s="2"/>
      <c r="H39" s="6">
        <v>6537.05</v>
      </c>
      <c r="I39" s="2"/>
      <c r="J39" s="7">
        <f t="shared" si="25"/>
        <v>0</v>
      </c>
      <c r="K39" s="2"/>
      <c r="L39" s="6">
        <f t="shared" si="26"/>
        <v>-44.090000000000146</v>
      </c>
      <c r="M39" s="2"/>
      <c r="N39" s="7">
        <f t="shared" si="27"/>
        <v>-6.7446325177259077E-3</v>
      </c>
      <c r="O39" s="11"/>
      <c r="P39" s="6">
        <v>26059.98</v>
      </c>
      <c r="Q39" s="2"/>
      <c r="R39" s="7">
        <f t="shared" si="28"/>
        <v>0</v>
      </c>
      <c r="S39" s="2"/>
      <c r="T39" s="6">
        <v>26148.2</v>
      </c>
      <c r="U39" s="2"/>
      <c r="V39" s="7">
        <f t="shared" si="29"/>
        <v>0</v>
      </c>
      <c r="W39" s="2"/>
      <c r="X39" s="6">
        <f t="shared" si="30"/>
        <v>-88.220000000001164</v>
      </c>
      <c r="Y39" s="2"/>
      <c r="Z39" s="7">
        <f t="shared" si="31"/>
        <v>-3.3738460008719976E-3</v>
      </c>
    </row>
    <row r="40" spans="1:26" s="24" customFormat="1" hidden="1" outlineLevel="2" x14ac:dyDescent="0.25">
      <c r="A40" s="29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208.12</v>
      </c>
      <c r="E40" s="2"/>
      <c r="F40" s="7">
        <f t="shared" si="24"/>
        <v>0</v>
      </c>
      <c r="G40" s="2"/>
      <c r="H40" s="6">
        <v>208.13</v>
      </c>
      <c r="I40" s="2"/>
      <c r="J40" s="7">
        <f t="shared" si="25"/>
        <v>0</v>
      </c>
      <c r="K40" s="2"/>
      <c r="L40" s="6">
        <f t="shared" si="26"/>
        <v>-9.9999999999909051E-3</v>
      </c>
      <c r="M40" s="2"/>
      <c r="N40" s="7">
        <f t="shared" si="27"/>
        <v>-4.804689376827418E-5</v>
      </c>
      <c r="O40" s="11"/>
      <c r="P40" s="6">
        <v>832.48</v>
      </c>
      <c r="Q40" s="2"/>
      <c r="R40" s="7">
        <f t="shared" si="28"/>
        <v>0</v>
      </c>
      <c r="S40" s="2"/>
      <c r="T40" s="6">
        <v>2129.63</v>
      </c>
      <c r="U40" s="2"/>
      <c r="V40" s="7">
        <f t="shared" si="29"/>
        <v>0</v>
      </c>
      <c r="W40" s="2"/>
      <c r="X40" s="6">
        <f t="shared" si="30"/>
        <v>-1297.1500000000001</v>
      </c>
      <c r="Y40" s="2"/>
      <c r="Z40" s="7">
        <f t="shared" si="31"/>
        <v>-0.60909641580931895</v>
      </c>
    </row>
    <row r="41" spans="1:26" s="28" customFormat="1" outlineLevel="1" collapsed="1" x14ac:dyDescent="0.25">
      <c r="A41" s="27"/>
      <c r="B41" s="14" t="str">
        <f>CONCATENATE("     ","Employees' Appreciation                           ")</f>
        <v xml:space="preserve">     Employees' Appreciation                           </v>
      </c>
      <c r="C41" s="14"/>
      <c r="D41" s="1">
        <f>SUM(OSRRefD22_5x_0)</f>
        <v>49.95</v>
      </c>
      <c r="E41" s="1"/>
      <c r="F41" s="5">
        <f t="shared" ref="F41:F49" si="32">IF(D$12=0,0,D41/D$12)</f>
        <v>0</v>
      </c>
      <c r="G41" s="1"/>
      <c r="H41" s="1">
        <f>SUM(OSRRefH22_5x_0)</f>
        <v>0</v>
      </c>
      <c r="I41" s="1"/>
      <c r="J41" s="5">
        <f t="shared" ref="J41:J49" si="33">IF(H$12=0,0,H41/H$12)</f>
        <v>0</v>
      </c>
      <c r="K41" s="1"/>
      <c r="L41" s="1">
        <f t="shared" ref="L41:L49" si="34">+D41-H41</f>
        <v>49.95</v>
      </c>
      <c r="M41" s="1"/>
      <c r="N41" s="5">
        <f t="shared" ref="N41:N49" si="35">IF(H41=0,0,L41/H41)</f>
        <v>0</v>
      </c>
      <c r="O41" s="14"/>
      <c r="P41" s="1">
        <f>SUM(OSRRefP22_5x_0)</f>
        <v>49.95</v>
      </c>
      <c r="Q41" s="1"/>
      <c r="R41" s="5">
        <f t="shared" ref="R41:R49" si="36">IF(P$12=0,0,P41/P$12)</f>
        <v>0</v>
      </c>
      <c r="S41" s="1"/>
      <c r="T41" s="1">
        <f>SUM(OSRRefT22_5x_0)</f>
        <v>0</v>
      </c>
      <c r="U41" s="1"/>
      <c r="V41" s="5">
        <f t="shared" ref="V41:V49" si="37">IF(T$12=0,0,T41/T$12)</f>
        <v>0</v>
      </c>
      <c r="W41" s="1"/>
      <c r="X41" s="1">
        <f t="shared" ref="X41:X49" si="38">+P41-T41</f>
        <v>49.95</v>
      </c>
      <c r="Y41" s="1"/>
      <c r="Z41" s="5">
        <f t="shared" ref="Z41:Z49" si="39">IF(T41=0,0,X41/T41)</f>
        <v>0</v>
      </c>
    </row>
    <row r="42" spans="1:26" s="24" customFormat="1" hidden="1" outlineLevel="2" x14ac:dyDescent="0.25">
      <c r="A42" s="29"/>
      <c r="B42" s="11" t="str">
        <f>CONCATENATE("          ", "6277", " - ", "EMPLOYEE APPRECIATION")</f>
        <v xml:space="preserve">          6277 - EMPLOYEE APPRECIATION</v>
      </c>
      <c r="C42" s="11"/>
      <c r="D42" s="6">
        <v>49.95</v>
      </c>
      <c r="E42" s="2"/>
      <c r="F42" s="7">
        <f t="shared" si="32"/>
        <v>0</v>
      </c>
      <c r="G42" s="2"/>
      <c r="H42" s="6"/>
      <c r="I42" s="2"/>
      <c r="J42" s="7">
        <f t="shared" si="33"/>
        <v>0</v>
      </c>
      <c r="K42" s="2"/>
      <c r="L42" s="6">
        <f t="shared" si="34"/>
        <v>49.95</v>
      </c>
      <c r="M42" s="2"/>
      <c r="N42" s="7">
        <f t="shared" si="35"/>
        <v>0</v>
      </c>
      <c r="O42" s="11"/>
      <c r="P42" s="6">
        <v>49.95</v>
      </c>
      <c r="Q42" s="2"/>
      <c r="R42" s="7">
        <f t="shared" si="36"/>
        <v>0</v>
      </c>
      <c r="S42" s="2"/>
      <c r="T42" s="6"/>
      <c r="U42" s="2"/>
      <c r="V42" s="7">
        <f t="shared" si="37"/>
        <v>0</v>
      </c>
      <c r="W42" s="2"/>
      <c r="X42" s="6">
        <f t="shared" si="38"/>
        <v>49.95</v>
      </c>
      <c r="Y42" s="2"/>
      <c r="Z42" s="7">
        <f t="shared" si="39"/>
        <v>0</v>
      </c>
    </row>
    <row r="43" spans="1:26" s="28" customFormat="1" outlineLevel="1" collapsed="1" x14ac:dyDescent="0.25">
      <c r="A43" s="27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SUM(OSRRefD22_6x_0)</f>
        <v>665.72</v>
      </c>
      <c r="E43" s="1"/>
      <c r="F43" s="5">
        <f t="shared" si="32"/>
        <v>0</v>
      </c>
      <c r="G43" s="1"/>
      <c r="H43" s="1">
        <f>SUM(OSRRefH22_6x_0)</f>
        <v>0</v>
      </c>
      <c r="I43" s="1"/>
      <c r="J43" s="5">
        <f t="shared" si="33"/>
        <v>0</v>
      </c>
      <c r="K43" s="1"/>
      <c r="L43" s="1">
        <f t="shared" si="34"/>
        <v>665.72</v>
      </c>
      <c r="M43" s="1"/>
      <c r="N43" s="5">
        <f t="shared" si="35"/>
        <v>0</v>
      </c>
      <c r="O43" s="14"/>
      <c r="P43" s="1">
        <f>SUM(OSRRefP22_6x_0)</f>
        <v>1700.58</v>
      </c>
      <c r="Q43" s="1"/>
      <c r="R43" s="5">
        <f t="shared" si="36"/>
        <v>0</v>
      </c>
      <c r="S43" s="1"/>
      <c r="T43" s="1">
        <f>SUM(OSRRefT22_6x_0)</f>
        <v>263.72000000000003</v>
      </c>
      <c r="U43" s="1"/>
      <c r="V43" s="5">
        <f t="shared" si="37"/>
        <v>0</v>
      </c>
      <c r="W43" s="1"/>
      <c r="X43" s="1">
        <f t="shared" si="38"/>
        <v>1436.86</v>
      </c>
      <c r="Y43" s="1"/>
      <c r="Z43" s="5">
        <f t="shared" si="39"/>
        <v>5.4484301531927795</v>
      </c>
    </row>
    <row r="44" spans="1:26" s="24" customFormat="1" hidden="1" outlineLevel="2" x14ac:dyDescent="0.25">
      <c r="A44" s="29"/>
      <c r="B44" s="11" t="str">
        <f>CONCATENATE("          ", "6351", " - ", "EQUIPMENT RENTAL")</f>
        <v xml:space="preserve">          6351 - EQUIPMENT RENTAL</v>
      </c>
      <c r="C44" s="11"/>
      <c r="D44" s="6">
        <v>665.72</v>
      </c>
      <c r="E44" s="2"/>
      <c r="F44" s="7">
        <f t="shared" si="32"/>
        <v>0</v>
      </c>
      <c r="G44" s="2"/>
      <c r="H44" s="6"/>
      <c r="I44" s="2"/>
      <c r="J44" s="7">
        <f t="shared" si="33"/>
        <v>0</v>
      </c>
      <c r="K44" s="2"/>
      <c r="L44" s="6">
        <f t="shared" si="34"/>
        <v>665.72</v>
      </c>
      <c r="M44" s="2"/>
      <c r="N44" s="7">
        <f t="shared" si="35"/>
        <v>0</v>
      </c>
      <c r="O44" s="11"/>
      <c r="P44" s="6">
        <v>1700.58</v>
      </c>
      <c r="Q44" s="2"/>
      <c r="R44" s="7">
        <f t="shared" si="36"/>
        <v>0</v>
      </c>
      <c r="S44" s="2"/>
      <c r="T44" s="6">
        <v>263.72000000000003</v>
      </c>
      <c r="U44" s="2"/>
      <c r="V44" s="7">
        <f t="shared" si="37"/>
        <v>0</v>
      </c>
      <c r="W44" s="2"/>
      <c r="X44" s="6">
        <f t="shared" si="38"/>
        <v>1436.86</v>
      </c>
      <c r="Y44" s="2"/>
      <c r="Z44" s="7">
        <f t="shared" si="39"/>
        <v>5.4484301531927795</v>
      </c>
    </row>
    <row r="45" spans="1:26" s="28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32"/>
        <v>0</v>
      </c>
      <c r="G45" s="1"/>
      <c r="H45" s="1">
        <f>SUM(OSRRefH22_7x_0)</f>
        <v>0</v>
      </c>
      <c r="I45" s="1"/>
      <c r="J45" s="5">
        <f t="shared" si="33"/>
        <v>0</v>
      </c>
      <c r="K45" s="1"/>
      <c r="L45" s="1">
        <f t="shared" si="34"/>
        <v>0</v>
      </c>
      <c r="M45" s="1"/>
      <c r="N45" s="5">
        <f t="shared" si="35"/>
        <v>0</v>
      </c>
      <c r="O45" s="14"/>
      <c r="P45" s="1">
        <f>SUM(OSRRefP22_7x_0)</f>
        <v>1314.55</v>
      </c>
      <c r="Q45" s="1"/>
      <c r="R45" s="5">
        <f t="shared" si="36"/>
        <v>0</v>
      </c>
      <c r="S45" s="1"/>
      <c r="T45" s="1">
        <f>SUM(OSRRefT22_7x_0)</f>
        <v>1284.55</v>
      </c>
      <c r="U45" s="1"/>
      <c r="V45" s="5">
        <f t="shared" si="37"/>
        <v>0</v>
      </c>
      <c r="W45" s="1"/>
      <c r="X45" s="1">
        <f t="shared" si="38"/>
        <v>30</v>
      </c>
      <c r="Y45" s="1"/>
      <c r="Z45" s="5">
        <f t="shared" si="39"/>
        <v>2.3354482114359115E-2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2"/>
        <v>0</v>
      </c>
      <c r="G46" s="2"/>
      <c r="H46" s="6"/>
      <c r="I46" s="2"/>
      <c r="J46" s="7">
        <f t="shared" si="33"/>
        <v>0</v>
      </c>
      <c r="K46" s="2"/>
      <c r="L46" s="6">
        <f t="shared" si="34"/>
        <v>0</v>
      </c>
      <c r="M46" s="2"/>
      <c r="N46" s="7">
        <f t="shared" si="35"/>
        <v>0</v>
      </c>
      <c r="O46" s="11"/>
      <c r="P46" s="6">
        <v>1314.55</v>
      </c>
      <c r="Q46" s="2"/>
      <c r="R46" s="7">
        <f t="shared" si="36"/>
        <v>0</v>
      </c>
      <c r="S46" s="2"/>
      <c r="T46" s="6">
        <v>1284.55</v>
      </c>
      <c r="U46" s="2"/>
      <c r="V46" s="7">
        <f t="shared" si="37"/>
        <v>0</v>
      </c>
      <c r="W46" s="2"/>
      <c r="X46" s="6">
        <f t="shared" si="38"/>
        <v>30</v>
      </c>
      <c r="Y46" s="2"/>
      <c r="Z46" s="7">
        <f t="shared" si="39"/>
        <v>2.3354482114359115E-2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SUM(OSRRefD22_8x_0)</f>
        <v>2110.12</v>
      </c>
      <c r="E47" s="1"/>
      <c r="F47" s="5">
        <f t="shared" si="32"/>
        <v>0</v>
      </c>
      <c r="G47" s="1"/>
      <c r="H47" s="1">
        <f>SUM(OSRRefH22_8x_0)</f>
        <v>0</v>
      </c>
      <c r="I47" s="1"/>
      <c r="J47" s="5">
        <f t="shared" si="33"/>
        <v>0</v>
      </c>
      <c r="K47" s="1"/>
      <c r="L47" s="1">
        <f t="shared" si="34"/>
        <v>2110.12</v>
      </c>
      <c r="M47" s="1"/>
      <c r="N47" s="5">
        <f t="shared" si="35"/>
        <v>0</v>
      </c>
      <c r="O47" s="14"/>
      <c r="P47" s="1">
        <f>SUM(OSRRefP22_8x_0)</f>
        <v>4435.04</v>
      </c>
      <c r="Q47" s="1"/>
      <c r="R47" s="5">
        <f t="shared" si="36"/>
        <v>0</v>
      </c>
      <c r="S47" s="1"/>
      <c r="T47" s="1">
        <f>SUM(OSRRefT22_8x_0)</f>
        <v>277.47000000000003</v>
      </c>
      <c r="U47" s="1"/>
      <c r="V47" s="5">
        <f t="shared" si="37"/>
        <v>0</v>
      </c>
      <c r="W47" s="1"/>
      <c r="X47" s="1">
        <f t="shared" si="38"/>
        <v>4157.57</v>
      </c>
      <c r="Y47" s="1"/>
      <c r="Z47" s="5">
        <f t="shared" si="39"/>
        <v>14.983854110354271</v>
      </c>
    </row>
    <row r="48" spans="1:26" s="24" customFormat="1" hidden="1" outlineLevel="2" x14ac:dyDescent="0.25">
      <c r="A48" s="29"/>
      <c r="B48" s="11" t="str">
        <f>CONCATENATE("          ", "6373", " - ", "MAINTENANCE CONTRACTS")</f>
        <v xml:space="preserve">          6373 - MAINTENANCE CONTRACTS</v>
      </c>
      <c r="C48" s="11"/>
      <c r="D48" s="6">
        <v>1204.21</v>
      </c>
      <c r="E48" s="2"/>
      <c r="F48" s="7">
        <f t="shared" si="32"/>
        <v>0</v>
      </c>
      <c r="G48" s="2"/>
      <c r="H48" s="6"/>
      <c r="I48" s="2"/>
      <c r="J48" s="7">
        <f t="shared" si="33"/>
        <v>0</v>
      </c>
      <c r="K48" s="2"/>
      <c r="L48" s="6">
        <f t="shared" si="34"/>
        <v>1204.21</v>
      </c>
      <c r="M48" s="2"/>
      <c r="N48" s="7">
        <f t="shared" si="35"/>
        <v>0</v>
      </c>
      <c r="O48" s="11"/>
      <c r="P48" s="6">
        <v>1402.67</v>
      </c>
      <c r="Q48" s="2"/>
      <c r="R48" s="7">
        <f t="shared" si="36"/>
        <v>0</v>
      </c>
      <c r="S48" s="2"/>
      <c r="T48" s="6">
        <v>277.47000000000003</v>
      </c>
      <c r="U48" s="2"/>
      <c r="V48" s="7">
        <f t="shared" si="37"/>
        <v>0</v>
      </c>
      <c r="W48" s="2"/>
      <c r="X48" s="6">
        <f t="shared" si="38"/>
        <v>1125.2</v>
      </c>
      <c r="Y48" s="2"/>
      <c r="Z48" s="7">
        <f t="shared" si="39"/>
        <v>4.0552131761992287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905.91</v>
      </c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905.91</v>
      </c>
      <c r="M49" s="2"/>
      <c r="N49" s="7">
        <f t="shared" si="35"/>
        <v>0</v>
      </c>
      <c r="O49" s="11"/>
      <c r="P49" s="6">
        <v>3032.37</v>
      </c>
      <c r="Q49" s="2"/>
      <c r="R49" s="7">
        <f t="shared" si="36"/>
        <v>0</v>
      </c>
      <c r="S49" s="2"/>
      <c r="T49" s="6"/>
      <c r="U49" s="2"/>
      <c r="V49" s="7">
        <f t="shared" si="37"/>
        <v>0</v>
      </c>
      <c r="W49" s="2"/>
      <c r="X49" s="6">
        <f t="shared" si="38"/>
        <v>3032.37</v>
      </c>
      <c r="Y49" s="2"/>
      <c r="Z49" s="7">
        <f t="shared" si="39"/>
        <v>0</v>
      </c>
    </row>
    <row r="50" spans="1:26" s="28" customFormat="1" outlineLevel="1" collapsed="1" x14ac:dyDescent="0.25">
      <c r="A50" s="27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SUM(OSRRefD22_9x_0)</f>
        <v>0</v>
      </c>
      <c r="E50" s="1"/>
      <c r="F50" s="5">
        <f t="shared" ref="F50:F59" si="40">IF(D$12=0,0,D50/D$12)</f>
        <v>0</v>
      </c>
      <c r="G50" s="1"/>
      <c r="H50" s="1">
        <f>SUM(OSRRefH22_9x_0)</f>
        <v>0</v>
      </c>
      <c r="I50" s="1"/>
      <c r="J50" s="5">
        <f t="shared" ref="J50:J59" si="41">IF(H$12=0,0,H50/H$12)</f>
        <v>0</v>
      </c>
      <c r="K50" s="1"/>
      <c r="L50" s="1">
        <f t="shared" ref="L50:L59" si="42">+D50-H50</f>
        <v>0</v>
      </c>
      <c r="M50" s="1"/>
      <c r="N50" s="5">
        <f t="shared" ref="N50:N59" si="43">IF(H50=0,0,L50/H50)</f>
        <v>0</v>
      </c>
      <c r="O50" s="14"/>
      <c r="P50" s="1">
        <f>SUM(OSRRefP22_9x_0)</f>
        <v>260</v>
      </c>
      <c r="Q50" s="1"/>
      <c r="R50" s="5">
        <f t="shared" ref="R50:R59" si="44">IF(P$12=0,0,P50/P$12)</f>
        <v>0</v>
      </c>
      <c r="S50" s="1"/>
      <c r="T50" s="1">
        <f>SUM(OSRRefT22_9x_0)</f>
        <v>0</v>
      </c>
      <c r="U50" s="1"/>
      <c r="V50" s="5">
        <f t="shared" ref="V50:V59" si="45">IF(T$12=0,0,T50/T$12)</f>
        <v>0</v>
      </c>
      <c r="W50" s="1"/>
      <c r="X50" s="1">
        <f t="shared" ref="X50:X59" si="46">+P50-T50</f>
        <v>260</v>
      </c>
      <c r="Y50" s="1"/>
      <c r="Z50" s="5">
        <f t="shared" ref="Z50:Z59" si="47">IF(T50=0,0,X50/T50)</f>
        <v>0</v>
      </c>
    </row>
    <row r="51" spans="1:26" s="24" customFormat="1" hidden="1" outlineLevel="2" x14ac:dyDescent="0.25">
      <c r="A51" s="29"/>
      <c r="B51" s="11" t="str">
        <f>CONCATENATE("          ", "6285", " - ", "JANITORIAL SERVICES")</f>
        <v xml:space="preserve">          6285 - JANITORIAL SERVICES</v>
      </c>
      <c r="C51" s="11"/>
      <c r="D51" s="6"/>
      <c r="E51" s="2"/>
      <c r="F51" s="7">
        <f t="shared" si="40"/>
        <v>0</v>
      </c>
      <c r="G51" s="2"/>
      <c r="H51" s="6"/>
      <c r="I51" s="2"/>
      <c r="J51" s="7">
        <f t="shared" si="41"/>
        <v>0</v>
      </c>
      <c r="K51" s="2"/>
      <c r="L51" s="6">
        <f t="shared" si="42"/>
        <v>0</v>
      </c>
      <c r="M51" s="2"/>
      <c r="N51" s="7">
        <f t="shared" si="43"/>
        <v>0</v>
      </c>
      <c r="O51" s="11"/>
      <c r="P51" s="6">
        <v>260</v>
      </c>
      <c r="Q51" s="2"/>
      <c r="R51" s="7">
        <f t="shared" si="44"/>
        <v>0</v>
      </c>
      <c r="S51" s="2"/>
      <c r="T51" s="6"/>
      <c r="U51" s="2"/>
      <c r="V51" s="7">
        <f t="shared" si="45"/>
        <v>0</v>
      </c>
      <c r="W51" s="2"/>
      <c r="X51" s="6">
        <f t="shared" si="46"/>
        <v>260</v>
      </c>
      <c r="Y51" s="2"/>
      <c r="Z51" s="7">
        <f t="shared" si="47"/>
        <v>0</v>
      </c>
    </row>
    <row r="52" spans="1:26" s="28" customFormat="1" outlineLevel="1" collapsed="1" x14ac:dyDescent="0.25">
      <c r="A52" s="27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SUM(OSRRefD22_10x_0)</f>
        <v>189.71</v>
      </c>
      <c r="E52" s="1"/>
      <c r="F52" s="5">
        <f t="shared" si="40"/>
        <v>0</v>
      </c>
      <c r="G52" s="1"/>
      <c r="H52" s="1">
        <f>SUM(OSRRefH22_10x_0)</f>
        <v>0</v>
      </c>
      <c r="I52" s="1"/>
      <c r="J52" s="5">
        <f t="shared" si="41"/>
        <v>0</v>
      </c>
      <c r="K52" s="1"/>
      <c r="L52" s="1">
        <f t="shared" si="42"/>
        <v>189.71</v>
      </c>
      <c r="M52" s="1"/>
      <c r="N52" s="5">
        <f t="shared" si="43"/>
        <v>0</v>
      </c>
      <c r="O52" s="14"/>
      <c r="P52" s="1">
        <f>SUM(OSRRefP22_10x_0)</f>
        <v>393.71</v>
      </c>
      <c r="Q52" s="1"/>
      <c r="R52" s="5">
        <f t="shared" si="44"/>
        <v>0</v>
      </c>
      <c r="S52" s="1"/>
      <c r="T52" s="1">
        <f>SUM(OSRRefT22_10x_0)</f>
        <v>0</v>
      </c>
      <c r="U52" s="1"/>
      <c r="V52" s="5">
        <f t="shared" si="45"/>
        <v>0</v>
      </c>
      <c r="W52" s="1"/>
      <c r="X52" s="1">
        <f t="shared" si="46"/>
        <v>393.71</v>
      </c>
      <c r="Y52" s="1"/>
      <c r="Z52" s="5">
        <f t="shared" si="47"/>
        <v>0</v>
      </c>
    </row>
    <row r="53" spans="1:26" s="24" customFormat="1" hidden="1" outlineLevel="2" x14ac:dyDescent="0.25">
      <c r="A53" s="29"/>
      <c r="B53" s="11" t="str">
        <f>CONCATENATE("          ", "6275", " - ", "SUBSCRIPTIONS")</f>
        <v xml:space="preserve">          6275 - SUBSCRIPTIONS</v>
      </c>
      <c r="C53" s="11"/>
      <c r="D53" s="6">
        <v>189.71</v>
      </c>
      <c r="E53" s="2"/>
      <c r="F53" s="7">
        <f t="shared" si="40"/>
        <v>0</v>
      </c>
      <c r="G53" s="2"/>
      <c r="H53" s="6"/>
      <c r="I53" s="2"/>
      <c r="J53" s="7">
        <f t="shared" si="41"/>
        <v>0</v>
      </c>
      <c r="K53" s="2"/>
      <c r="L53" s="6">
        <f t="shared" si="42"/>
        <v>189.71</v>
      </c>
      <c r="M53" s="2"/>
      <c r="N53" s="7">
        <f t="shared" si="43"/>
        <v>0</v>
      </c>
      <c r="O53" s="11"/>
      <c r="P53" s="6">
        <v>393.71</v>
      </c>
      <c r="Q53" s="2"/>
      <c r="R53" s="7">
        <f t="shared" si="44"/>
        <v>0</v>
      </c>
      <c r="S53" s="2"/>
      <c r="T53" s="6"/>
      <c r="U53" s="2"/>
      <c r="V53" s="7">
        <f t="shared" si="45"/>
        <v>0</v>
      </c>
      <c r="W53" s="2"/>
      <c r="X53" s="6">
        <f t="shared" si="46"/>
        <v>393.71</v>
      </c>
      <c r="Y53" s="2"/>
      <c r="Z53" s="7">
        <f t="shared" si="47"/>
        <v>0</v>
      </c>
    </row>
    <row r="54" spans="1:26" s="28" customFormat="1" outlineLevel="1" collapsed="1" x14ac:dyDescent="0.25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SUM(OSRRefD22_11x_0)</f>
        <v>1257.74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1257.74</v>
      </c>
      <c r="M54" s="1"/>
      <c r="N54" s="5">
        <f t="shared" si="43"/>
        <v>0</v>
      </c>
      <c r="O54" s="14"/>
      <c r="P54" s="1">
        <f>SUM(OSRRefP22_11x_0)</f>
        <v>2201.2800000000002</v>
      </c>
      <c r="Q54" s="1"/>
      <c r="R54" s="5">
        <f t="shared" si="44"/>
        <v>0</v>
      </c>
      <c r="S54" s="1"/>
      <c r="T54" s="1">
        <f>SUM(OSRRefT22_11x_0)</f>
        <v>0</v>
      </c>
      <c r="U54" s="1"/>
      <c r="V54" s="5">
        <f t="shared" si="45"/>
        <v>0</v>
      </c>
      <c r="W54" s="1"/>
      <c r="X54" s="1">
        <f t="shared" si="46"/>
        <v>2201.2800000000002</v>
      </c>
      <c r="Y54" s="1"/>
      <c r="Z54" s="5">
        <f t="shared" si="47"/>
        <v>0</v>
      </c>
    </row>
    <row r="55" spans="1:26" s="24" customFormat="1" hidden="1" outlineLevel="2" x14ac:dyDescent="0.25">
      <c r="A55" s="29"/>
      <c r="B55" s="11" t="str">
        <f>CONCATENATE("          ", "6237", " - ", "JANITORIAL SUPPLIES")</f>
        <v xml:space="preserve">          6237 - JANITORIAL SUPPLIES</v>
      </c>
      <c r="C55" s="11"/>
      <c r="D55" s="6"/>
      <c r="E55" s="2"/>
      <c r="F55" s="7">
        <f t="shared" si="40"/>
        <v>0</v>
      </c>
      <c r="G55" s="2"/>
      <c r="H55" s="6"/>
      <c r="I55" s="2"/>
      <c r="J55" s="7">
        <f t="shared" si="41"/>
        <v>0</v>
      </c>
      <c r="K55" s="2"/>
      <c r="L55" s="6">
        <f t="shared" si="42"/>
        <v>0</v>
      </c>
      <c r="M55" s="2"/>
      <c r="N55" s="7">
        <f t="shared" si="43"/>
        <v>0</v>
      </c>
      <c r="O55" s="11"/>
      <c r="P55" s="6">
        <v>796.76</v>
      </c>
      <c r="Q55" s="2"/>
      <c r="R55" s="7">
        <f t="shared" si="44"/>
        <v>0</v>
      </c>
      <c r="S55" s="2"/>
      <c r="T55" s="6"/>
      <c r="U55" s="2"/>
      <c r="V55" s="7">
        <f t="shared" si="45"/>
        <v>0</v>
      </c>
      <c r="W55" s="2"/>
      <c r="X55" s="6">
        <f t="shared" si="46"/>
        <v>796.76</v>
      </c>
      <c r="Y55" s="2"/>
      <c r="Z55" s="7">
        <f t="shared" si="47"/>
        <v>0</v>
      </c>
    </row>
    <row r="56" spans="1:26" s="24" customFormat="1" hidden="1" outlineLevel="2" x14ac:dyDescent="0.25">
      <c r="A56" s="29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0</v>
      </c>
      <c r="M56" s="2"/>
      <c r="N56" s="7">
        <f t="shared" si="43"/>
        <v>0</v>
      </c>
      <c r="O56" s="11"/>
      <c r="P56" s="6">
        <v>69.62</v>
      </c>
      <c r="Q56" s="2"/>
      <c r="R56" s="7">
        <f t="shared" si="44"/>
        <v>0</v>
      </c>
      <c r="S56" s="2"/>
      <c r="T56" s="6"/>
      <c r="U56" s="2"/>
      <c r="V56" s="7">
        <f t="shared" si="45"/>
        <v>0</v>
      </c>
      <c r="W56" s="2"/>
      <c r="X56" s="6">
        <f t="shared" si="46"/>
        <v>69.62</v>
      </c>
      <c r="Y56" s="2"/>
      <c r="Z56" s="7">
        <f t="shared" si="47"/>
        <v>0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6">
        <v>781.55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781.55</v>
      </c>
      <c r="M57" s="2"/>
      <c r="N57" s="7">
        <f t="shared" si="43"/>
        <v>0</v>
      </c>
      <c r="O57" s="11"/>
      <c r="P57" s="6">
        <v>858.71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858.71</v>
      </c>
      <c r="Y57" s="2"/>
      <c r="Z57" s="7">
        <f t="shared" si="47"/>
        <v>0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6">
        <v>138.19</v>
      </c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138.19</v>
      </c>
      <c r="M58" s="2"/>
      <c r="N58" s="7">
        <f t="shared" si="43"/>
        <v>0</v>
      </c>
      <c r="O58" s="11"/>
      <c r="P58" s="6">
        <v>138.19</v>
      </c>
      <c r="Q58" s="2"/>
      <c r="R58" s="7">
        <f t="shared" si="44"/>
        <v>0</v>
      </c>
      <c r="S58" s="2"/>
      <c r="T58" s="6"/>
      <c r="U58" s="2"/>
      <c r="V58" s="7">
        <f t="shared" si="45"/>
        <v>0</v>
      </c>
      <c r="W58" s="2"/>
      <c r="X58" s="6">
        <f t="shared" si="46"/>
        <v>138.19</v>
      </c>
      <c r="Y58" s="2"/>
      <c r="Z58" s="7">
        <f t="shared" si="47"/>
        <v>0</v>
      </c>
    </row>
    <row r="59" spans="1:26" s="24" customFormat="1" hidden="1" outlineLevel="2" x14ac:dyDescent="0.25">
      <c r="A59" s="29"/>
      <c r="B59" s="11" t="str">
        <f>CONCATENATE("          ", "6245", " - ", "PRINTING")</f>
        <v xml:space="preserve">          6245 - PRINTING</v>
      </c>
      <c r="C59" s="11"/>
      <c r="D59" s="6">
        <v>338</v>
      </c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338</v>
      </c>
      <c r="M59" s="2"/>
      <c r="N59" s="7">
        <f t="shared" si="43"/>
        <v>0</v>
      </c>
      <c r="O59" s="11"/>
      <c r="P59" s="6">
        <v>338</v>
      </c>
      <c r="Q59" s="2"/>
      <c r="R59" s="7">
        <f t="shared" si="44"/>
        <v>0</v>
      </c>
      <c r="S59" s="2"/>
      <c r="T59" s="6"/>
      <c r="U59" s="2"/>
      <c r="V59" s="7">
        <f t="shared" si="45"/>
        <v>0</v>
      </c>
      <c r="W59" s="2"/>
      <c r="X59" s="6">
        <f t="shared" si="46"/>
        <v>338</v>
      </c>
      <c r="Y59" s="2"/>
      <c r="Z59" s="7">
        <f t="shared" si="47"/>
        <v>0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0</v>
      </c>
      <c r="E60" s="1"/>
      <c r="F60" s="5">
        <f t="shared" ref="F60:F61" si="48">IF(D$12=0,0,D60/D$12)</f>
        <v>0</v>
      </c>
      <c r="G60" s="1"/>
      <c r="H60" s="1">
        <f>SUM(OSRRefH22_12x_0)</f>
        <v>38.869999999999997</v>
      </c>
      <c r="I60" s="1"/>
      <c r="J60" s="5">
        <f t="shared" ref="J60:J61" si="49">IF(H$12=0,0,H60/H$12)</f>
        <v>0</v>
      </c>
      <c r="K60" s="1"/>
      <c r="L60" s="1">
        <f t="shared" ref="L60:L61" si="50">+D60-H60</f>
        <v>-38.869999999999997</v>
      </c>
      <c r="M60" s="1"/>
      <c r="N60" s="5">
        <f t="shared" ref="N60:N61" si="51">IF(H60=0,0,L60/H60)</f>
        <v>-1</v>
      </c>
      <c r="O60" s="14"/>
      <c r="P60" s="1">
        <f>SUM(OSRRefP22_12x_0)</f>
        <v>75</v>
      </c>
      <c r="Q60" s="1"/>
      <c r="R60" s="5">
        <f t="shared" ref="R60:R61" si="52">IF(P$12=0,0,P60/P$12)</f>
        <v>0</v>
      </c>
      <c r="S60" s="1"/>
      <c r="T60" s="1">
        <f>SUM(OSRRefT22_12x_0)</f>
        <v>250.87</v>
      </c>
      <c r="U60" s="1"/>
      <c r="V60" s="5">
        <f t="shared" ref="V60:V61" si="53">IF(T$12=0,0,T60/T$12)</f>
        <v>0</v>
      </c>
      <c r="W60" s="1"/>
      <c r="X60" s="1">
        <f t="shared" ref="X60:X61" si="54">+P60-T60</f>
        <v>-175.87</v>
      </c>
      <c r="Y60" s="1"/>
      <c r="Z60" s="5">
        <f t="shared" ref="Z60:Z61" si="55">IF(T60=0,0,X60/T60)</f>
        <v>-0.70104037947941167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6">
        <v>0</v>
      </c>
      <c r="E61" s="2"/>
      <c r="F61" s="7">
        <f t="shared" si="48"/>
        <v>0</v>
      </c>
      <c r="G61" s="2"/>
      <c r="H61" s="6">
        <v>38.869999999999997</v>
      </c>
      <c r="I61" s="2"/>
      <c r="J61" s="7">
        <f t="shared" si="49"/>
        <v>0</v>
      </c>
      <c r="K61" s="2"/>
      <c r="L61" s="6">
        <f t="shared" si="50"/>
        <v>-38.869999999999997</v>
      </c>
      <c r="M61" s="2"/>
      <c r="N61" s="7">
        <f t="shared" si="51"/>
        <v>-1</v>
      </c>
      <c r="O61" s="11"/>
      <c r="P61" s="6">
        <v>75</v>
      </c>
      <c r="Q61" s="2"/>
      <c r="R61" s="7">
        <f t="shared" si="52"/>
        <v>0</v>
      </c>
      <c r="S61" s="2"/>
      <c r="T61" s="6">
        <v>250.87</v>
      </c>
      <c r="U61" s="2"/>
      <c r="V61" s="7">
        <f t="shared" si="53"/>
        <v>0</v>
      </c>
      <c r="W61" s="2"/>
      <c r="X61" s="6">
        <f t="shared" si="54"/>
        <v>-175.87</v>
      </c>
      <c r="Y61" s="2"/>
      <c r="Z61" s="7">
        <f t="shared" si="55"/>
        <v>-0.70104037947941167</v>
      </c>
    </row>
    <row r="62" spans="1:26" s="56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5" t="s">
        <v>292</v>
      </c>
      <c r="C63" s="10"/>
      <c r="D63" s="4">
        <f>SUM(OSRRefD25x_0)</f>
        <v>341.5</v>
      </c>
      <c r="E63" s="4"/>
      <c r="F63" s="12">
        <f t="shared" ref="F63:F64" si="56">IF(D$12=0,0,D63/D$12)</f>
        <v>0</v>
      </c>
      <c r="G63" s="4"/>
      <c r="H63" s="4">
        <f>SUM(OSRRefH25x_0)</f>
        <v>0</v>
      </c>
      <c r="I63" s="4"/>
      <c r="J63" s="12">
        <f t="shared" ref="J63:J64" si="57">IF(H$12=0,0,H63/H$12)</f>
        <v>0</v>
      </c>
      <c r="K63" s="4"/>
      <c r="L63" s="4">
        <f t="shared" ref="L63:L64" si="58">+D63-H63</f>
        <v>341.5</v>
      </c>
      <c r="M63" s="4"/>
      <c r="N63" s="12">
        <f t="shared" ref="N63:N64" si="59">IF(H63=0,0,L63/H63)</f>
        <v>0</v>
      </c>
      <c r="O63" s="10"/>
      <c r="P63" s="4">
        <f>SUM(OSRRefP25x_0)</f>
        <v>341.5</v>
      </c>
      <c r="Q63" s="4"/>
      <c r="R63" s="12">
        <f t="shared" ref="R63:R64" si="60">IF(P$12=0,0,P63/P$12)</f>
        <v>0</v>
      </c>
      <c r="S63" s="4"/>
      <c r="T63" s="4">
        <f>SUM(OSRRefT25x_0)</f>
        <v>111.42</v>
      </c>
      <c r="U63" s="4"/>
      <c r="V63" s="12">
        <f t="shared" ref="V63:V64" si="61">IF(T$12=0,0,T63/T$12)</f>
        <v>0</v>
      </c>
      <c r="W63" s="4"/>
      <c r="X63" s="4">
        <f t="shared" ref="X63:X64" si="62">+P63-T63</f>
        <v>230.07999999999998</v>
      </c>
      <c r="Y63" s="4"/>
      <c r="Z63" s="12">
        <f t="shared" ref="Z63:Z64" si="63">IF(T63=0,0,X63/T63)</f>
        <v>2.0649793573864654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--341.5</f>
        <v>341.5</v>
      </c>
      <c r="E64" s="2"/>
      <c r="F64" s="19">
        <f t="shared" si="56"/>
        <v>0</v>
      </c>
      <c r="G64" s="2"/>
      <c r="H64" s="2">
        <f>0</f>
        <v>0</v>
      </c>
      <c r="I64" s="2"/>
      <c r="J64" s="19">
        <f t="shared" si="57"/>
        <v>0</v>
      </c>
      <c r="K64" s="2"/>
      <c r="L64" s="2">
        <f t="shared" si="58"/>
        <v>341.5</v>
      </c>
      <c r="M64" s="2"/>
      <c r="N64" s="19">
        <f t="shared" si="59"/>
        <v>0</v>
      </c>
      <c r="O64" s="11"/>
      <c r="P64" s="2">
        <f>--341.5</f>
        <v>341.5</v>
      </c>
      <c r="Q64" s="2"/>
      <c r="R64" s="19">
        <f t="shared" si="60"/>
        <v>0</v>
      </c>
      <c r="S64" s="2"/>
      <c r="T64" s="2">
        <f>--111.42</f>
        <v>111.42</v>
      </c>
      <c r="U64" s="2"/>
      <c r="V64" s="19">
        <f t="shared" si="61"/>
        <v>0</v>
      </c>
      <c r="W64" s="2"/>
      <c r="X64" s="2">
        <f t="shared" si="62"/>
        <v>230.07999999999998</v>
      </c>
      <c r="Y64" s="2"/>
      <c r="Z64" s="19">
        <f t="shared" si="63"/>
        <v>2.0649793573864654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6" t="s">
        <v>276</v>
      </c>
      <c r="C66" s="26"/>
      <c r="D66" s="22">
        <f>+D17-D19+D63</f>
        <v>-14190.6</v>
      </c>
      <c r="E66" s="13"/>
      <c r="F66" s="20">
        <f>IF(D$12=0,0,D66/D$12)</f>
        <v>0</v>
      </c>
      <c r="G66" s="13"/>
      <c r="H66" s="22">
        <f>+H17-H19+H63</f>
        <v>-6784.05</v>
      </c>
      <c r="I66" s="13"/>
      <c r="J66" s="20">
        <f>IF(H$12=0,0,H66/H$12)</f>
        <v>0</v>
      </c>
      <c r="K66" s="15"/>
      <c r="L66" s="22">
        <f>+D66-H66</f>
        <v>-7406.55</v>
      </c>
      <c r="M66" s="15"/>
      <c r="N66" s="20">
        <f>IF(H66=0,0,L66/H66)</f>
        <v>1.0917593472925464</v>
      </c>
      <c r="O66" s="25"/>
      <c r="P66" s="22">
        <f>+P17-P19+P63</f>
        <v>-74718.189999999988</v>
      </c>
      <c r="Q66" s="13"/>
      <c r="R66" s="20">
        <f>IF(P$12=0,0,P66/P$12)</f>
        <v>0</v>
      </c>
      <c r="S66" s="13"/>
      <c r="T66" s="22">
        <f>+T17-T19+T63</f>
        <v>-38478.670000000006</v>
      </c>
      <c r="U66" s="13"/>
      <c r="V66" s="20">
        <f>IF(T$12=0,0,T66/T$12)</f>
        <v>0</v>
      </c>
      <c r="W66" s="15"/>
      <c r="X66" s="22">
        <f>+P66-T66</f>
        <v>-36239.519999999982</v>
      </c>
      <c r="Y66" s="15"/>
      <c r="Z66" s="20">
        <f>IF(T66=0,0,X66/T66)</f>
        <v>0.94180801987178808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125</v>
      </c>
      <c r="C70" s="26"/>
      <c r="D70" s="33">
        <f>+D66-D68</f>
        <v>-14190.6</v>
      </c>
      <c r="E70" s="13"/>
      <c r="F70" s="31">
        <f>IF(D$12=0,0,D70/D$12)</f>
        <v>0</v>
      </c>
      <c r="G70" s="13"/>
      <c r="H70" s="33">
        <f>+H66-H68</f>
        <v>-6784.05</v>
      </c>
      <c r="I70" s="13"/>
      <c r="J70" s="31">
        <f>IF(H$12=0,0,H70/H$12)</f>
        <v>0</v>
      </c>
      <c r="K70" s="15"/>
      <c r="L70" s="33">
        <f>D70-H70</f>
        <v>-7406.55</v>
      </c>
      <c r="M70" s="15"/>
      <c r="N70" s="31">
        <f>IF(H70=0,0,L70/H70)</f>
        <v>1.0917593472925464</v>
      </c>
      <c r="O70" s="25"/>
      <c r="P70" s="33">
        <f>+P66-P68</f>
        <v>-74718.189999999988</v>
      </c>
      <c r="Q70" s="13"/>
      <c r="R70" s="31">
        <f>IF(P$12=0,0,P70/P$12)</f>
        <v>0</v>
      </c>
      <c r="S70" s="13"/>
      <c r="T70" s="33">
        <f>+T66-T68</f>
        <v>-38478.670000000006</v>
      </c>
      <c r="U70" s="13"/>
      <c r="V70" s="31">
        <f>IF(T$12=0,0,T70/T$12)</f>
        <v>0</v>
      </c>
      <c r="W70" s="15"/>
      <c r="X70" s="33">
        <f>P70-T70</f>
        <v>-36239.519999999982</v>
      </c>
      <c r="Y70" s="15"/>
      <c r="Z70" s="31">
        <f>IF(T70=0,0,X70/T70)</f>
        <v>0.94180801987178808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293</v>
      </c>
      <c r="C73" s="26"/>
      <c r="D73" s="34">
        <f>SUM(D70:D72)</f>
        <v>-14190.6</v>
      </c>
      <c r="E73" s="13"/>
      <c r="F73" s="30">
        <f>IF(D$12=0,0,D73/D$12)</f>
        <v>0</v>
      </c>
      <c r="G73" s="13"/>
      <c r="H73" s="34">
        <f>SUM(H70:H72)</f>
        <v>-6784.05</v>
      </c>
      <c r="I73" s="13"/>
      <c r="J73" s="30">
        <f>IF(H$12=0,0,H73/H$12)</f>
        <v>0</v>
      </c>
      <c r="K73" s="15"/>
      <c r="L73" s="34">
        <f>+D73-H73</f>
        <v>-7406.55</v>
      </c>
      <c r="M73" s="15"/>
      <c r="N73" s="30">
        <f>IF(H73=0,0,L73/H73)</f>
        <v>1.0917593472925464</v>
      </c>
      <c r="O73" s="25"/>
      <c r="P73" s="34">
        <f>SUM(P70:P72)</f>
        <v>-74718.189999999988</v>
      </c>
      <c r="Q73" s="13"/>
      <c r="R73" s="30">
        <f>IF(P$12=0,0,P73/P$12)</f>
        <v>0</v>
      </c>
      <c r="S73" s="13"/>
      <c r="T73" s="34">
        <f>SUM(T70:T72)</f>
        <v>-38478.670000000006</v>
      </c>
      <c r="U73" s="13"/>
      <c r="V73" s="30">
        <f>IF(T$12=0,0,T73/T$12)</f>
        <v>0</v>
      </c>
      <c r="W73" s="15"/>
      <c r="X73" s="34">
        <f>+P73-T73</f>
        <v>-36239.519999999982</v>
      </c>
      <c r="Y73" s="15"/>
      <c r="Z73" s="30">
        <f>IF(T73=0,0,X73/T73)</f>
        <v>0.94180801987178808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61">
        <v>44517.967041516204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7" t="s">
        <v>56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8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30231.29</v>
      </c>
      <c r="I12" s="4"/>
      <c r="J12" s="12"/>
      <c r="K12" s="4"/>
      <c r="L12" s="4">
        <f t="shared" ref="L12:L13" si="0">+D12-H12</f>
        <v>-30231.29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30231.29</v>
      </c>
      <c r="U12" s="4"/>
      <c r="V12" s="12"/>
      <c r="W12" s="4"/>
      <c r="X12" s="4">
        <f t="shared" ref="X12:X13" si="2">+P12-T12</f>
        <v>-30231.29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0</f>
        <v>0</v>
      </c>
      <c r="E13" s="2"/>
      <c r="F13" s="19"/>
      <c r="G13" s="2"/>
      <c r="H13" s="2">
        <f>--30231.29</f>
        <v>30231.29</v>
      </c>
      <c r="I13" s="2"/>
      <c r="J13" s="19"/>
      <c r="K13" s="2"/>
      <c r="L13" s="2">
        <f t="shared" si="0"/>
        <v>-30231.29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--30231.29</f>
        <v>30231.29</v>
      </c>
      <c r="U13" s="2"/>
      <c r="V13" s="19"/>
      <c r="W13" s="2"/>
      <c r="X13" s="2">
        <f t="shared" si="2"/>
        <v>-30231.29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D12-D15</f>
        <v>0</v>
      </c>
      <c r="E17" s="13"/>
      <c r="F17" s="20">
        <f>IF(D$12=0,0,D17/D$12)</f>
        <v>0</v>
      </c>
      <c r="G17" s="13"/>
      <c r="H17" s="22">
        <f>H12-H15</f>
        <v>30231.29</v>
      </c>
      <c r="I17" s="13"/>
      <c r="J17" s="20">
        <f>IF(H$12=0,0,H17/H$12)</f>
        <v>1</v>
      </c>
      <c r="K17" s="15"/>
      <c r="L17" s="22">
        <f>+D17-H17</f>
        <v>-30231.29</v>
      </c>
      <c r="M17" s="15"/>
      <c r="N17" s="20">
        <f>IF(H17=0,0,L17/H17)</f>
        <v>-1</v>
      </c>
      <c r="O17" s="25"/>
      <c r="P17" s="22">
        <f>P12-P15</f>
        <v>0</v>
      </c>
      <c r="Q17" s="13"/>
      <c r="R17" s="20">
        <f>IF(P$12=0,0,P17/P$12)</f>
        <v>0</v>
      </c>
      <c r="S17" s="13"/>
      <c r="T17" s="22">
        <f>T12-T15</f>
        <v>30231.29</v>
      </c>
      <c r="U17" s="13"/>
      <c r="V17" s="20">
        <f>IF(T$12=0,0,T17/T$12)</f>
        <v>1</v>
      </c>
      <c r="W17" s="15"/>
      <c r="X17" s="22">
        <f>+P17-T17</f>
        <v>-30231.29</v>
      </c>
      <c r="Y17" s="15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SUM(0)</f>
        <v>0</v>
      </c>
      <c r="E19" s="21"/>
      <c r="F19" s="36">
        <f>IF(D$12=0,0,D19/D$12)</f>
        <v>0</v>
      </c>
      <c r="G19" s="21"/>
      <c r="H19" s="21">
        <f>SUM(0)</f>
        <v>0</v>
      </c>
      <c r="I19" s="21"/>
      <c r="J19" s="36">
        <f>IF(H$12=0,0,H19/H$12)</f>
        <v>0</v>
      </c>
      <c r="K19" s="4"/>
      <c r="L19" s="21">
        <f>+D19-H19</f>
        <v>0</v>
      </c>
      <c r="M19" s="4"/>
      <c r="N19" s="36">
        <f>IF(H19=0,0,L19/H19)</f>
        <v>0</v>
      </c>
      <c r="O19" s="10"/>
      <c r="P19" s="21">
        <f>SUM(0)</f>
        <v>0</v>
      </c>
      <c r="Q19" s="21"/>
      <c r="R19" s="36">
        <f>IF(P$12=0,0,P19/P$12)</f>
        <v>0</v>
      </c>
      <c r="S19" s="21"/>
      <c r="T19" s="21">
        <f>SUM(0)</f>
        <v>0</v>
      </c>
      <c r="U19" s="21"/>
      <c r="V19" s="36">
        <f>IF(T$12=0,0,T19/T$12)</f>
        <v>0</v>
      </c>
      <c r="W19" s="4"/>
      <c r="X19" s="21">
        <f>+P19-T19</f>
        <v>0</v>
      </c>
      <c r="Y19" s="4"/>
      <c r="Z19" s="36">
        <f>IF(T19=0,0,X19/T19)</f>
        <v>0</v>
      </c>
    </row>
    <row r="20" spans="1:26" s="56" customFormat="1" x14ac:dyDescent="0.25">
      <c r="A20" s="37"/>
      <c r="B20" s="37"/>
      <c r="C20" s="37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292</v>
      </c>
      <c r="C21" s="10"/>
      <c r="D21" s="4">
        <f>SUM(0)</f>
        <v>0</v>
      </c>
      <c r="E21" s="4"/>
      <c r="F21" s="12">
        <f>IF(D$12=0,0,D21/D$12)</f>
        <v>0</v>
      </c>
      <c r="G21" s="4"/>
      <c r="H21" s="4">
        <f>SUM(0)</f>
        <v>0</v>
      </c>
      <c r="I21" s="4"/>
      <c r="J21" s="12">
        <f>IF(H$12=0,0,H21/H$12)</f>
        <v>0</v>
      </c>
      <c r="K21" s="4"/>
      <c r="L21" s="4">
        <f>+D21-H21</f>
        <v>0</v>
      </c>
      <c r="M21" s="4"/>
      <c r="N21" s="12">
        <f>IF(H21=0,0,L21/H21)</f>
        <v>0</v>
      </c>
      <c r="O21" s="10"/>
      <c r="P21" s="4">
        <f>SUM(0)</f>
        <v>0</v>
      </c>
      <c r="Q21" s="4"/>
      <c r="R21" s="12">
        <f>IF(P$12=0,0,P21/P$12)</f>
        <v>0</v>
      </c>
      <c r="S21" s="4"/>
      <c r="T21" s="4">
        <f>SUM(0)</f>
        <v>0</v>
      </c>
      <c r="U21" s="4"/>
      <c r="V21" s="12">
        <f>IF(T$12=0,0,T21/T$12)</f>
        <v>0</v>
      </c>
      <c r="W21" s="4"/>
      <c r="X21" s="4">
        <f>+P21-T21</f>
        <v>0</v>
      </c>
      <c r="Y21" s="4"/>
      <c r="Z21" s="12">
        <f>IF(T21=0,0,X21/T21)</f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276</v>
      </c>
      <c r="C23" s="26"/>
      <c r="D23" s="22">
        <f>+D17-D19+D21</f>
        <v>0</v>
      </c>
      <c r="E23" s="13"/>
      <c r="F23" s="20">
        <f>IF(D$12=0,0,D23/D$12)</f>
        <v>0</v>
      </c>
      <c r="G23" s="13"/>
      <c r="H23" s="22">
        <f>+H17-H19+H21</f>
        <v>30231.29</v>
      </c>
      <c r="I23" s="13"/>
      <c r="J23" s="20">
        <f>IF(H$12=0,0,H23/H$12)</f>
        <v>1</v>
      </c>
      <c r="K23" s="15"/>
      <c r="L23" s="22">
        <f>+D23-H23</f>
        <v>-30231.29</v>
      </c>
      <c r="M23" s="15"/>
      <c r="N23" s="20">
        <f>IF(H23=0,0,L23/H23)</f>
        <v>-1</v>
      </c>
      <c r="O23" s="25"/>
      <c r="P23" s="22">
        <f>+P17-P19+P21</f>
        <v>0</v>
      </c>
      <c r="Q23" s="13"/>
      <c r="R23" s="20">
        <f>IF(P$12=0,0,P23/P$12)</f>
        <v>0</v>
      </c>
      <c r="S23" s="13"/>
      <c r="T23" s="22">
        <f>+T17-T19+T21</f>
        <v>30231.29</v>
      </c>
      <c r="U23" s="13"/>
      <c r="V23" s="20">
        <f>IF(T$12=0,0,T23/T$12)</f>
        <v>1</v>
      </c>
      <c r="W23" s="15"/>
      <c r="X23" s="22">
        <f>+P23-T23</f>
        <v>-30231.29</v>
      </c>
      <c r="Y23" s="15"/>
      <c r="Z23" s="20">
        <f>IF(T23=0,0,X23/T23)</f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51"/>
      <c r="B25" s="10" t="s">
        <v>127</v>
      </c>
      <c r="C25" s="10"/>
      <c r="D25" s="4"/>
      <c r="E25" s="4"/>
      <c r="F25" s="12">
        <f>IF(D$12=0,0,D25/D$12)</f>
        <v>0</v>
      </c>
      <c r="G25" s="4"/>
      <c r="H25" s="4">
        <v>6548.75</v>
      </c>
      <c r="I25" s="4"/>
      <c r="J25" s="12">
        <f>IF(H$12=0,0,H25/H$12)</f>
        <v>0.2166215864423913</v>
      </c>
      <c r="K25" s="4"/>
      <c r="L25" s="4">
        <f>+D25-H25</f>
        <v>-6548.75</v>
      </c>
      <c r="M25" s="4"/>
      <c r="N25" s="12">
        <f>IF(H25=0,0,L25/H25)</f>
        <v>-1</v>
      </c>
      <c r="O25" s="10"/>
      <c r="P25" s="4"/>
      <c r="Q25" s="4"/>
      <c r="R25" s="12">
        <f>IF(P$12=0,0,P25/P$12)</f>
        <v>0</v>
      </c>
      <c r="S25" s="4"/>
      <c r="T25" s="4">
        <v>6548.75</v>
      </c>
      <c r="U25" s="4"/>
      <c r="V25" s="12">
        <f>IF(T$12=0,0,T25/T$12)</f>
        <v>0.2166215864423913</v>
      </c>
      <c r="W25" s="4"/>
      <c r="X25" s="4">
        <f>+P25-T25</f>
        <v>-6548.75</v>
      </c>
      <c r="Y25" s="4"/>
      <c r="Z25" s="12">
        <f>IF(T25=0,0,X25/T25)</f>
        <v>-1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ht="15.75" thickBot="1" x14ac:dyDescent="0.3">
      <c r="A27" s="10"/>
      <c r="B27" s="26" t="s">
        <v>125</v>
      </c>
      <c r="C27" s="26"/>
      <c r="D27" s="33">
        <f>+D23-D25</f>
        <v>0</v>
      </c>
      <c r="E27" s="13"/>
      <c r="F27" s="31">
        <f>IF(D$12=0,0,D27/D$12)</f>
        <v>0</v>
      </c>
      <c r="G27" s="13"/>
      <c r="H27" s="33">
        <f>+H23-H25</f>
        <v>23682.54</v>
      </c>
      <c r="I27" s="13"/>
      <c r="J27" s="31">
        <f>IF(H$12=0,0,H27/H$12)</f>
        <v>0.78337841355760873</v>
      </c>
      <c r="K27" s="15"/>
      <c r="L27" s="33">
        <f>D27-H27</f>
        <v>-23682.54</v>
      </c>
      <c r="M27" s="15"/>
      <c r="N27" s="31">
        <f>IF(H27=0,0,L27/H27)</f>
        <v>-1</v>
      </c>
      <c r="O27" s="25"/>
      <c r="P27" s="33">
        <f>+P23-P25</f>
        <v>0</v>
      </c>
      <c r="Q27" s="13"/>
      <c r="R27" s="31">
        <f>IF(P$12=0,0,P27/P$12)</f>
        <v>0</v>
      </c>
      <c r="S27" s="13"/>
      <c r="T27" s="33">
        <f>+T23-T25</f>
        <v>23682.54</v>
      </c>
      <c r="U27" s="13"/>
      <c r="V27" s="31">
        <f>IF(T$12=0,0,T27/T$12)</f>
        <v>0.78337841355760873</v>
      </c>
      <c r="W27" s="15"/>
      <c r="X27" s="33">
        <f>P27-T27</f>
        <v>-23682.54</v>
      </c>
      <c r="Y27" s="15"/>
      <c r="Z27" s="31">
        <f>IF(T27=0,0,X27/T27)</f>
        <v>-1</v>
      </c>
    </row>
    <row r="28" spans="1:26" ht="15.75" thickTop="1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6" t="s">
        <v>293</v>
      </c>
      <c r="C30" s="26"/>
      <c r="D30" s="34">
        <f>SUM(D27:D29)</f>
        <v>0</v>
      </c>
      <c r="E30" s="13"/>
      <c r="F30" s="30">
        <f>IF(D$12=0,0,D30/D$12)</f>
        <v>0</v>
      </c>
      <c r="G30" s="13"/>
      <c r="H30" s="34">
        <f>SUM(H27:H29)</f>
        <v>23682.54</v>
      </c>
      <c r="I30" s="13"/>
      <c r="J30" s="30">
        <f>IF(H$12=0,0,H30/H$12)</f>
        <v>0.78337841355760873</v>
      </c>
      <c r="K30" s="15"/>
      <c r="L30" s="34">
        <f>+D30-H30</f>
        <v>-23682.54</v>
      </c>
      <c r="M30" s="15"/>
      <c r="N30" s="30">
        <f>IF(H30=0,0,L30/H30)</f>
        <v>-1</v>
      </c>
      <c r="O30" s="25"/>
      <c r="P30" s="34">
        <f>SUM(P27:P29)</f>
        <v>0</v>
      </c>
      <c r="Q30" s="13"/>
      <c r="R30" s="30">
        <f>IF(P$12=0,0,P30/P$12)</f>
        <v>0</v>
      </c>
      <c r="S30" s="13"/>
      <c r="T30" s="34">
        <f>SUM(T27:T29)</f>
        <v>23682.54</v>
      </c>
      <c r="U30" s="13"/>
      <c r="V30" s="30">
        <f>IF(T$12=0,0,T30/T$12)</f>
        <v>0.78337841355760873</v>
      </c>
      <c r="W30" s="15"/>
      <c r="X30" s="34">
        <f>+P30-T30</f>
        <v>-23682.54</v>
      </c>
      <c r="Y30" s="15"/>
      <c r="Z30" s="30">
        <f>IF(T30=0,0,X30/T30)</f>
        <v>-1</v>
      </c>
    </row>
    <row r="31" spans="1:26" ht="15.75" thickTop="1" x14ac:dyDescent="0.25">
      <c r="A31" s="9"/>
      <c r="C31" s="9"/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61">
        <v>44517.967041516204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7" t="s">
        <v>56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8"/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","423", " - ", "Contract/Vending Revenue")</f>
        <v>Department 423 - Contract/Vending Revenue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36</v>
      </c>
      <c r="E18" s="21"/>
      <c r="F18" s="36">
        <f t="shared" ref="F18:F21" si="0">IF(D$12=0,0,D18/D$12)</f>
        <v>0</v>
      </c>
      <c r="G18" s="21"/>
      <c r="H18" s="21">
        <f>SUM(OSRRefH22x_0)</f>
        <v>-114</v>
      </c>
      <c r="I18" s="21"/>
      <c r="J18" s="36">
        <f t="shared" ref="J18:J21" si="1">IF(H$12=0,0,H18/H$12)</f>
        <v>0</v>
      </c>
      <c r="K18" s="4"/>
      <c r="L18" s="21">
        <f t="shared" ref="L18:L21" si="2">+D18-H18</f>
        <v>150</v>
      </c>
      <c r="M18" s="4"/>
      <c r="N18" s="36">
        <f t="shared" ref="N18:N21" si="3">IF(H18=0,0,L18/H18)</f>
        <v>-1.3157894736842106</v>
      </c>
      <c r="O18" s="10"/>
      <c r="P18" s="21">
        <f>SUM(OSRRefP22x_0)</f>
        <v>7997.51</v>
      </c>
      <c r="Q18" s="21"/>
      <c r="R18" s="36">
        <f t="shared" ref="R18:R21" si="4">IF(P$12=0,0,P18/P$12)</f>
        <v>0</v>
      </c>
      <c r="S18" s="21"/>
      <c r="T18" s="21">
        <f>SUM(OSRRefT22x_0)</f>
        <v>2580.4299999999998</v>
      </c>
      <c r="U18" s="21"/>
      <c r="V18" s="36">
        <f t="shared" ref="V18:V21" si="5">IF(T$12=0,0,T18/T$12)</f>
        <v>0</v>
      </c>
      <c r="W18" s="4"/>
      <c r="X18" s="21">
        <f t="shared" ref="X18:X21" si="6">+P18-T18</f>
        <v>5417.08</v>
      </c>
      <c r="Y18" s="4"/>
      <c r="Z18" s="36">
        <f t="shared" ref="Z18:Z21" si="7">IF(T18=0,0,X18/T18)</f>
        <v>2.099293528597947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1868.2</v>
      </c>
      <c r="U20" s="2"/>
      <c r="V20" s="7">
        <f t="shared" si="5"/>
        <v>0</v>
      </c>
      <c r="W20" s="2"/>
      <c r="X20" s="6">
        <f t="shared" si="6"/>
        <v>-1868.2</v>
      </c>
      <c r="Y20" s="2"/>
      <c r="Z20" s="7">
        <f t="shared" si="7"/>
        <v>-1</v>
      </c>
    </row>
    <row r="21" spans="1:26" s="24" customFormat="1" hidden="1" outlineLevel="2" x14ac:dyDescent="0.25">
      <c r="A21" s="29"/>
      <c r="B21" s="11" t="str">
        <f>CONCATENATE("          ", "6115", " - ", "P.E.R.S.")</f>
        <v xml:space="preserve">          6115 - P.E.R.S.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610.53</v>
      </c>
      <c r="U21" s="2"/>
      <c r="V21" s="7">
        <f t="shared" si="5"/>
        <v>0</v>
      </c>
      <c r="W21" s="2"/>
      <c r="X21" s="6">
        <f t="shared" si="6"/>
        <v>-610.53</v>
      </c>
      <c r="Y21" s="2"/>
      <c r="Z21" s="7">
        <f t="shared" si="7"/>
        <v>-1</v>
      </c>
    </row>
    <row r="22" spans="1:26" s="28" customFormat="1" outlineLevel="1" collapsed="1" x14ac:dyDescent="0.25">
      <c r="A22" s="27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0</v>
      </c>
      <c r="E22" s="1"/>
      <c r="F22" s="5">
        <f t="shared" ref="F22:F27" si="8">IF(D$12=0,0,D22/D$12)</f>
        <v>0</v>
      </c>
      <c r="G22" s="1"/>
      <c r="H22" s="1">
        <f>SUM(OSRRefH22_1x_0)</f>
        <v>0</v>
      </c>
      <c r="I22" s="1"/>
      <c r="J22" s="5">
        <f t="shared" ref="J22:J27" si="9">IF(H$12=0,0,H22/H$12)</f>
        <v>0</v>
      </c>
      <c r="K22" s="1"/>
      <c r="L22" s="1">
        <f t="shared" ref="L22:L27" si="10">+D22-H22</f>
        <v>0</v>
      </c>
      <c r="M22" s="1"/>
      <c r="N22" s="5">
        <f t="shared" ref="N22:N27" si="11">IF(H22=0,0,L22/H22)</f>
        <v>0</v>
      </c>
      <c r="O22" s="14"/>
      <c r="P22" s="1">
        <f>SUM(OSRRefP22_1x_0)</f>
        <v>7489.93</v>
      </c>
      <c r="Q22" s="1"/>
      <c r="R22" s="5">
        <f t="shared" ref="R22:R27" si="12">IF(P$12=0,0,P22/P$12)</f>
        <v>0</v>
      </c>
      <c r="S22" s="1"/>
      <c r="T22" s="1">
        <f>SUM(OSRRefT22_1x_0)</f>
        <v>0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7489.93</v>
      </c>
      <c r="Y22" s="1"/>
      <c r="Z22" s="5">
        <f t="shared" ref="Z22:Z27" si="15">IF(T22=0,0,X22/T22)</f>
        <v>0</v>
      </c>
    </row>
    <row r="23" spans="1:26" s="24" customFormat="1" hidden="1" outlineLevel="2" x14ac:dyDescent="0.25">
      <c r="A23" s="29"/>
      <c r="B23" s="11" t="str">
        <f>CONCATENATE("          ", "6279", " - ", "GENERAL EXPENSE")</f>
        <v xml:space="preserve">          6279 - GENERAL EXPENSE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7489.93</v>
      </c>
      <c r="Q23" s="2"/>
      <c r="R23" s="7">
        <f t="shared" si="12"/>
        <v>0</v>
      </c>
      <c r="S23" s="2"/>
      <c r="T23" s="6"/>
      <c r="U23" s="2"/>
      <c r="V23" s="7">
        <f t="shared" si="13"/>
        <v>0</v>
      </c>
      <c r="W23" s="2"/>
      <c r="X23" s="6">
        <f t="shared" si="14"/>
        <v>7489.93</v>
      </c>
      <c r="Y23" s="2"/>
      <c r="Z23" s="7">
        <f t="shared" si="15"/>
        <v>0</v>
      </c>
    </row>
    <row r="24" spans="1:26" s="28" customFormat="1" outlineLevel="1" collapsed="1" x14ac:dyDescent="0.25">
      <c r="A24" s="27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0</v>
      </c>
      <c r="E24" s="1"/>
      <c r="F24" s="5">
        <f t="shared" si="8"/>
        <v>0</v>
      </c>
      <c r="G24" s="1"/>
      <c r="H24" s="1">
        <f>SUM(OSRRefH22_2x_0)</f>
        <v>0</v>
      </c>
      <c r="I24" s="1"/>
      <c r="J24" s="5">
        <f t="shared" si="9"/>
        <v>0</v>
      </c>
      <c r="K24" s="1"/>
      <c r="L24" s="1">
        <f t="shared" si="10"/>
        <v>0</v>
      </c>
      <c r="M24" s="1"/>
      <c r="N24" s="5">
        <f t="shared" si="11"/>
        <v>0</v>
      </c>
      <c r="O24" s="14"/>
      <c r="P24" s="1">
        <f>SUM(OSRRefP22_2x_0)</f>
        <v>498.58</v>
      </c>
      <c r="Q24" s="1"/>
      <c r="R24" s="5">
        <f t="shared" si="12"/>
        <v>0</v>
      </c>
      <c r="S24" s="1"/>
      <c r="T24" s="1">
        <f>SUM(OSRRefT22_2x_0)</f>
        <v>-56.3</v>
      </c>
      <c r="U24" s="1"/>
      <c r="V24" s="5">
        <f t="shared" si="13"/>
        <v>0</v>
      </c>
      <c r="W24" s="1"/>
      <c r="X24" s="1">
        <f t="shared" si="14"/>
        <v>554.88</v>
      </c>
      <c r="Y24" s="1"/>
      <c r="Z24" s="5">
        <f t="shared" si="15"/>
        <v>-9.8557726465364119</v>
      </c>
    </row>
    <row r="25" spans="1:26" s="24" customFormat="1" hidden="1" outlineLevel="2" x14ac:dyDescent="0.25">
      <c r="A25" s="29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>
        <v>498.58</v>
      </c>
      <c r="Q25" s="2"/>
      <c r="R25" s="7">
        <f t="shared" si="12"/>
        <v>0</v>
      </c>
      <c r="S25" s="2"/>
      <c r="T25" s="6">
        <v>-56.3</v>
      </c>
      <c r="U25" s="2"/>
      <c r="V25" s="7">
        <f t="shared" si="13"/>
        <v>0</v>
      </c>
      <c r="W25" s="2"/>
      <c r="X25" s="6">
        <f t="shared" si="14"/>
        <v>554.88</v>
      </c>
      <c r="Y25" s="2"/>
      <c r="Z25" s="7">
        <f t="shared" si="15"/>
        <v>-9.8557726465364119</v>
      </c>
    </row>
    <row r="26" spans="1:26" s="28" customFormat="1" outlineLevel="1" collapsed="1" x14ac:dyDescent="0.25">
      <c r="A26" s="27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36</v>
      </c>
      <c r="E26" s="1"/>
      <c r="F26" s="5">
        <f t="shared" si="8"/>
        <v>0</v>
      </c>
      <c r="G26" s="1"/>
      <c r="H26" s="1">
        <f>SUM(OSRRefH22_3x_0)</f>
        <v>-114</v>
      </c>
      <c r="I26" s="1"/>
      <c r="J26" s="5">
        <f t="shared" si="9"/>
        <v>0</v>
      </c>
      <c r="K26" s="1"/>
      <c r="L26" s="1">
        <f t="shared" si="10"/>
        <v>150</v>
      </c>
      <c r="M26" s="1"/>
      <c r="N26" s="5">
        <f t="shared" si="11"/>
        <v>-1.3157894736842106</v>
      </c>
      <c r="O26" s="14"/>
      <c r="P26" s="1">
        <f>SUM(OSRRefP22_3x_0)</f>
        <v>9</v>
      </c>
      <c r="Q26" s="1"/>
      <c r="R26" s="5">
        <f t="shared" si="12"/>
        <v>0</v>
      </c>
      <c r="S26" s="1"/>
      <c r="T26" s="1">
        <f>SUM(OSRRefT22_3x_0)</f>
        <v>158</v>
      </c>
      <c r="U26" s="1"/>
      <c r="V26" s="5">
        <f t="shared" si="13"/>
        <v>0</v>
      </c>
      <c r="W26" s="1"/>
      <c r="X26" s="1">
        <f t="shared" si="14"/>
        <v>-149</v>
      </c>
      <c r="Y26" s="1"/>
      <c r="Z26" s="5">
        <f t="shared" si="15"/>
        <v>-0.94303797468354433</v>
      </c>
    </row>
    <row r="27" spans="1:26" s="24" customFormat="1" hidden="1" outlineLevel="2" x14ac:dyDescent="0.25">
      <c r="A27" s="29"/>
      <c r="B27" s="11" t="str">
        <f>CONCATENATE("          ", "6309", " - ", "TELEPHONE")</f>
        <v xml:space="preserve">          6309 - TELEPHONE</v>
      </c>
      <c r="C27" s="11"/>
      <c r="D27" s="6">
        <v>36</v>
      </c>
      <c r="E27" s="2"/>
      <c r="F27" s="7">
        <f t="shared" si="8"/>
        <v>0</v>
      </c>
      <c r="G27" s="2"/>
      <c r="H27" s="6">
        <v>-114</v>
      </c>
      <c r="I27" s="2"/>
      <c r="J27" s="7">
        <f t="shared" si="9"/>
        <v>0</v>
      </c>
      <c r="K27" s="2"/>
      <c r="L27" s="6">
        <f t="shared" si="10"/>
        <v>150</v>
      </c>
      <c r="M27" s="2"/>
      <c r="N27" s="7">
        <f t="shared" si="11"/>
        <v>-1.3157894736842106</v>
      </c>
      <c r="O27" s="11"/>
      <c r="P27" s="6">
        <v>9</v>
      </c>
      <c r="Q27" s="2"/>
      <c r="R27" s="7">
        <f t="shared" si="12"/>
        <v>0</v>
      </c>
      <c r="S27" s="2"/>
      <c r="T27" s="6">
        <v>158</v>
      </c>
      <c r="U27" s="2"/>
      <c r="V27" s="7">
        <f t="shared" si="13"/>
        <v>0</v>
      </c>
      <c r="W27" s="2"/>
      <c r="X27" s="6">
        <f t="shared" si="14"/>
        <v>-149</v>
      </c>
      <c r="Y27" s="2"/>
      <c r="Z27" s="7">
        <f t="shared" si="15"/>
        <v>-0.94303797468354433</v>
      </c>
    </row>
    <row r="28" spans="1:26" s="56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25">
      <c r="A29" s="10"/>
      <c r="B29" s="25" t="s">
        <v>292</v>
      </c>
      <c r="C29" s="10"/>
      <c r="D29" s="4">
        <f>SUM(OSRRefD25x_0)</f>
        <v>5936.59</v>
      </c>
      <c r="E29" s="4"/>
      <c r="F29" s="12">
        <f t="shared" ref="F29:F30" si="16">IF(D$12=0,0,D29/D$12)</f>
        <v>0</v>
      </c>
      <c r="G29" s="4"/>
      <c r="H29" s="4">
        <f>SUM(OSRRefH25x_0)</f>
        <v>0</v>
      </c>
      <c r="I29" s="4"/>
      <c r="J29" s="12">
        <f t="shared" ref="J29:J30" si="17">IF(H$12=0,0,H29/H$12)</f>
        <v>0</v>
      </c>
      <c r="K29" s="4"/>
      <c r="L29" s="4">
        <f t="shared" ref="L29:L30" si="18">+D29-H29</f>
        <v>5936.59</v>
      </c>
      <c r="M29" s="4"/>
      <c r="N29" s="12">
        <f t="shared" ref="N29:N30" si="19">IF(H29=0,0,L29/H29)</f>
        <v>0</v>
      </c>
      <c r="O29" s="10"/>
      <c r="P29" s="4">
        <f>SUM(OSRRefP25x_0)</f>
        <v>20116.939999999999</v>
      </c>
      <c r="Q29" s="4"/>
      <c r="R29" s="12">
        <f t="shared" ref="R29:R30" si="20">IF(P$12=0,0,P29/P$12)</f>
        <v>0</v>
      </c>
      <c r="S29" s="4"/>
      <c r="T29" s="4">
        <f>SUM(OSRRefT25x_0)</f>
        <v>0</v>
      </c>
      <c r="U29" s="4"/>
      <c r="V29" s="12">
        <f t="shared" ref="V29:V30" si="21">IF(T$12=0,0,T29/T$12)</f>
        <v>0</v>
      </c>
      <c r="W29" s="4"/>
      <c r="X29" s="4">
        <f t="shared" ref="X29:X30" si="22">+P29-T29</f>
        <v>20116.939999999999</v>
      </c>
      <c r="Y29" s="4"/>
      <c r="Z29" s="12">
        <f t="shared" ref="Z29:Z30" si="23">IF(T29=0,0,X29/T29)</f>
        <v>0</v>
      </c>
    </row>
    <row r="30" spans="1:26" s="24" customFormat="1" hidden="1" outlineLevel="1" x14ac:dyDescent="0.25">
      <c r="A30" s="44"/>
      <c r="B30" s="11" t="str">
        <f>CONCATENATE("          ", "9150", " - ", "MISC. INCOME")</f>
        <v xml:space="preserve">          9150 - MISC. INCOME</v>
      </c>
      <c r="C30" s="11"/>
      <c r="D30" s="2">
        <f>--5936.59</f>
        <v>5936.59</v>
      </c>
      <c r="E30" s="2"/>
      <c r="F30" s="19">
        <f t="shared" si="16"/>
        <v>0</v>
      </c>
      <c r="G30" s="2"/>
      <c r="H30" s="2">
        <f>0</f>
        <v>0</v>
      </c>
      <c r="I30" s="2"/>
      <c r="J30" s="19">
        <f t="shared" si="17"/>
        <v>0</v>
      </c>
      <c r="K30" s="2"/>
      <c r="L30" s="2">
        <f t="shared" si="18"/>
        <v>5936.59</v>
      </c>
      <c r="M30" s="2"/>
      <c r="N30" s="19">
        <f t="shared" si="19"/>
        <v>0</v>
      </c>
      <c r="O30" s="11"/>
      <c r="P30" s="2">
        <f>--20116.94</f>
        <v>20116.939999999999</v>
      </c>
      <c r="Q30" s="2"/>
      <c r="R30" s="19">
        <f t="shared" si="20"/>
        <v>0</v>
      </c>
      <c r="S30" s="2"/>
      <c r="T30" s="2">
        <f>0</f>
        <v>0</v>
      </c>
      <c r="U30" s="2"/>
      <c r="V30" s="19">
        <f t="shared" si="21"/>
        <v>0</v>
      </c>
      <c r="W30" s="2"/>
      <c r="X30" s="2">
        <f t="shared" si="22"/>
        <v>20116.939999999999</v>
      </c>
      <c r="Y30" s="2"/>
      <c r="Z30" s="19">
        <f t="shared" si="23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276</v>
      </c>
      <c r="C32" s="26"/>
      <c r="D32" s="22">
        <f>+D16-D18+D29</f>
        <v>5900.59</v>
      </c>
      <c r="E32" s="13"/>
      <c r="F32" s="20">
        <f>IF(D$12=0,0,D32/D$12)</f>
        <v>0</v>
      </c>
      <c r="G32" s="13"/>
      <c r="H32" s="22">
        <f>+H16-H18+H29</f>
        <v>114</v>
      </c>
      <c r="I32" s="13"/>
      <c r="J32" s="20">
        <f>IF(H$12=0,0,H32/H$12)</f>
        <v>0</v>
      </c>
      <c r="K32" s="15"/>
      <c r="L32" s="22">
        <f>+D32-H32</f>
        <v>5786.59</v>
      </c>
      <c r="M32" s="15"/>
      <c r="N32" s="20">
        <f>IF(H32=0,0,L32/H32)</f>
        <v>50.759561403508776</v>
      </c>
      <c r="O32" s="25"/>
      <c r="P32" s="22">
        <f>+P16-P18+P29</f>
        <v>12119.429999999998</v>
      </c>
      <c r="Q32" s="13"/>
      <c r="R32" s="20">
        <f>IF(P$12=0,0,P32/P$12)</f>
        <v>0</v>
      </c>
      <c r="S32" s="13"/>
      <c r="T32" s="22">
        <f>+T16-T18+T29</f>
        <v>-2580.4299999999998</v>
      </c>
      <c r="U32" s="13"/>
      <c r="V32" s="20">
        <f>IF(T$12=0,0,T32/T$12)</f>
        <v>0</v>
      </c>
      <c r="W32" s="15"/>
      <c r="X32" s="22">
        <f>+P32-T32</f>
        <v>14699.859999999999</v>
      </c>
      <c r="Y32" s="15"/>
      <c r="Z32" s="20">
        <f>IF(T32=0,0,X32/T32)</f>
        <v>-5.6966707099204399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125</v>
      </c>
      <c r="C36" s="26"/>
      <c r="D36" s="33">
        <f>+D32-D34</f>
        <v>5900.59</v>
      </c>
      <c r="E36" s="13"/>
      <c r="F36" s="31">
        <f>IF(D$12=0,0,D36/D$12)</f>
        <v>0</v>
      </c>
      <c r="G36" s="13"/>
      <c r="H36" s="33">
        <f>+H32-H34</f>
        <v>114</v>
      </c>
      <c r="I36" s="13"/>
      <c r="J36" s="31">
        <f>IF(H$12=0,0,H36/H$12)</f>
        <v>0</v>
      </c>
      <c r="K36" s="15"/>
      <c r="L36" s="33">
        <f>D36-H36</f>
        <v>5786.59</v>
      </c>
      <c r="M36" s="15"/>
      <c r="N36" s="31">
        <f>IF(H36=0,0,L36/H36)</f>
        <v>50.759561403508776</v>
      </c>
      <c r="O36" s="25"/>
      <c r="P36" s="33">
        <f>+P32-P34</f>
        <v>12119.429999999998</v>
      </c>
      <c r="Q36" s="13"/>
      <c r="R36" s="31">
        <f>IF(P$12=0,0,P36/P$12)</f>
        <v>0</v>
      </c>
      <c r="S36" s="13"/>
      <c r="T36" s="33">
        <f>+T32-T34</f>
        <v>-2580.4299999999998</v>
      </c>
      <c r="U36" s="13"/>
      <c r="V36" s="31">
        <f>IF(T$12=0,0,T36/T$12)</f>
        <v>0</v>
      </c>
      <c r="W36" s="15"/>
      <c r="X36" s="33">
        <f>P36-T36</f>
        <v>14699.859999999999</v>
      </c>
      <c r="Y36" s="15"/>
      <c r="Z36" s="31">
        <f>IF(T36=0,0,X36/T36)</f>
        <v>-5.6966707099204399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293</v>
      </c>
      <c r="C39" s="26"/>
      <c r="D39" s="34">
        <f>SUM(D36:D38)</f>
        <v>5900.59</v>
      </c>
      <c r="E39" s="13"/>
      <c r="F39" s="30">
        <f>IF(D$12=0,0,D39/D$12)</f>
        <v>0</v>
      </c>
      <c r="G39" s="13"/>
      <c r="H39" s="34">
        <f>SUM(H36:H38)</f>
        <v>114</v>
      </c>
      <c r="I39" s="13"/>
      <c r="J39" s="30">
        <f>IF(H$12=0,0,H39/H$12)</f>
        <v>0</v>
      </c>
      <c r="K39" s="15"/>
      <c r="L39" s="34">
        <f>+D39-H39</f>
        <v>5786.59</v>
      </c>
      <c r="M39" s="15"/>
      <c r="N39" s="30">
        <f>IF(H39=0,0,L39/H39)</f>
        <v>50.759561403508776</v>
      </c>
      <c r="O39" s="25"/>
      <c r="P39" s="34">
        <f>SUM(P36:P38)</f>
        <v>12119.429999999998</v>
      </c>
      <c r="Q39" s="13"/>
      <c r="R39" s="30">
        <f>IF(P$12=0,0,P39/P$12)</f>
        <v>0</v>
      </c>
      <c r="S39" s="13"/>
      <c r="T39" s="34">
        <f>SUM(T36:T38)</f>
        <v>-2580.4299999999998</v>
      </c>
      <c r="U39" s="13"/>
      <c r="V39" s="30">
        <f>IF(T$12=0,0,T39/T$12)</f>
        <v>0</v>
      </c>
      <c r="W39" s="15"/>
      <c r="X39" s="34">
        <f>+P39-T39</f>
        <v>14699.859999999999</v>
      </c>
      <c r="Y39" s="15"/>
      <c r="Z39" s="30">
        <f>IF(T39=0,0,X39/T39)</f>
        <v>-5.6966707099204399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1">
        <v>44517.967041516204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8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479.29</v>
      </c>
      <c r="E18" s="21"/>
      <c r="F18" s="36">
        <f t="shared" ref="F18:F26" si="0">IF(D$12=0,0,D18/D$12)</f>
        <v>0</v>
      </c>
      <c r="G18" s="21"/>
      <c r="H18" s="21">
        <f>SUM(OSRRefH22x_0)</f>
        <v>278.25</v>
      </c>
      <c r="I18" s="21"/>
      <c r="J18" s="36">
        <f t="shared" ref="J18:J26" si="1">IF(H$12=0,0,H18/H$12)</f>
        <v>0</v>
      </c>
      <c r="K18" s="4"/>
      <c r="L18" s="21">
        <f t="shared" ref="L18:L26" si="2">+D18-H18</f>
        <v>201.04000000000002</v>
      </c>
      <c r="M18" s="4"/>
      <c r="N18" s="36">
        <f t="shared" ref="N18:N26" si="3">IF(H18=0,0,L18/H18)</f>
        <v>0.72251572327044034</v>
      </c>
      <c r="O18" s="10"/>
      <c r="P18" s="21">
        <f>SUM(OSRRefP22x_0)</f>
        <v>1917.16</v>
      </c>
      <c r="Q18" s="21"/>
      <c r="R18" s="36">
        <f t="shared" ref="R18:R26" si="4">IF(P$12=0,0,P18/P$12)</f>
        <v>0</v>
      </c>
      <c r="S18" s="21"/>
      <c r="T18" s="21">
        <f>SUM(OSRRefT22x_0)</f>
        <v>2818.0099999999998</v>
      </c>
      <c r="U18" s="21"/>
      <c r="V18" s="36">
        <f t="shared" ref="V18:V26" si="5">IF(T$12=0,0,T18/T$12)</f>
        <v>0</v>
      </c>
      <c r="W18" s="4"/>
      <c r="X18" s="21">
        <f t="shared" ref="X18:X26" si="6">+P18-T18</f>
        <v>-900.84999999999968</v>
      </c>
      <c r="Y18" s="4"/>
      <c r="Z18" s="36">
        <f t="shared" ref="Z18:Z26" si="7">IF(T18=0,0,X18/T18)</f>
        <v>-0.3196759415332095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1917.16</v>
      </c>
      <c r="Q19" s="1"/>
      <c r="R19" s="5">
        <f t="shared" si="4"/>
        <v>0</v>
      </c>
      <c r="S19" s="1"/>
      <c r="T19" s="1">
        <f>SUM(OSRRefT22_0x_0)</f>
        <v>1917.16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479.29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1917.16</v>
      </c>
      <c r="Q20" s="2"/>
      <c r="R20" s="7">
        <f t="shared" si="4"/>
        <v>0</v>
      </c>
      <c r="S20" s="2"/>
      <c r="T20" s="6">
        <v>1917.16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8" customFormat="1" outlineLevel="1" collapsed="1" x14ac:dyDescent="0.25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519.54999999999995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-1</v>
      </c>
    </row>
    <row r="22" spans="1:26" s="24" customFormat="1" hidden="1" outlineLevel="2" x14ac:dyDescent="0.25">
      <c r="A22" s="29"/>
      <c r="B22" s="11" t="str">
        <f>CONCATENATE("          ", "6279", " - ", "GENERAL EXPENSE")</f>
        <v xml:space="preserve">          6279 - GENERAL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519.54999999999995</v>
      </c>
      <c r="U22" s="2"/>
      <c r="V22" s="7">
        <f t="shared" si="5"/>
        <v>0</v>
      </c>
      <c r="W22" s="2"/>
      <c r="X22" s="6">
        <f t="shared" si="6"/>
        <v>-519.54999999999995</v>
      </c>
      <c r="Y22" s="2"/>
      <c r="Z22" s="7">
        <f t="shared" si="7"/>
        <v>-1</v>
      </c>
    </row>
    <row r="23" spans="1:26" s="28" customFormat="1" outlineLevel="1" collapsed="1" x14ac:dyDescent="0.25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154.33000000000001</v>
      </c>
      <c r="U23" s="1"/>
      <c r="V23" s="5">
        <f t="shared" si="5"/>
        <v>0</v>
      </c>
      <c r="W23" s="1"/>
      <c r="X23" s="1">
        <f t="shared" si="6"/>
        <v>-154.33000000000001</v>
      </c>
      <c r="Y23" s="1"/>
      <c r="Z23" s="5">
        <f t="shared" si="7"/>
        <v>-1</v>
      </c>
    </row>
    <row r="24" spans="1:26" s="24" customFormat="1" hidden="1" outlineLevel="2" x14ac:dyDescent="0.25">
      <c r="A24" s="29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154.33000000000001</v>
      </c>
      <c r="U24" s="2"/>
      <c r="V24" s="7">
        <f t="shared" si="5"/>
        <v>0</v>
      </c>
      <c r="W24" s="2"/>
      <c r="X24" s="6">
        <f t="shared" si="6"/>
        <v>-154.33000000000001</v>
      </c>
      <c r="Y24" s="2"/>
      <c r="Z24" s="7">
        <f t="shared" si="7"/>
        <v>-1</v>
      </c>
    </row>
    <row r="25" spans="1:26" s="28" customFormat="1" outlineLevel="1" collapsed="1" x14ac:dyDescent="0.25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-201.04</v>
      </c>
      <c r="I25" s="1"/>
      <c r="J25" s="5">
        <f t="shared" si="1"/>
        <v>0</v>
      </c>
      <c r="K25" s="1"/>
      <c r="L25" s="1">
        <f t="shared" si="2"/>
        <v>201.04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226.97</v>
      </c>
      <c r="U25" s="1"/>
      <c r="V25" s="5">
        <f t="shared" si="5"/>
        <v>0</v>
      </c>
      <c r="W25" s="1"/>
      <c r="X25" s="1">
        <f t="shared" si="6"/>
        <v>-226.97</v>
      </c>
      <c r="Y25" s="1"/>
      <c r="Z25" s="5">
        <f t="shared" si="7"/>
        <v>-1</v>
      </c>
    </row>
    <row r="26" spans="1:26" s="24" customFormat="1" hidden="1" outlineLevel="2" x14ac:dyDescent="0.25">
      <c r="A26" s="29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>
        <v>-201.04</v>
      </c>
      <c r="I26" s="2"/>
      <c r="J26" s="7">
        <f t="shared" si="1"/>
        <v>0</v>
      </c>
      <c r="K26" s="2"/>
      <c r="L26" s="6">
        <f t="shared" si="2"/>
        <v>201.04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226.97</v>
      </c>
      <c r="U26" s="2"/>
      <c r="V26" s="7">
        <f t="shared" si="5"/>
        <v>0</v>
      </c>
      <c r="W26" s="2"/>
      <c r="X26" s="6">
        <f t="shared" si="6"/>
        <v>-226.97</v>
      </c>
      <c r="Y26" s="2"/>
      <c r="Z26" s="7">
        <f t="shared" si="7"/>
        <v>-1</v>
      </c>
    </row>
    <row r="27" spans="1:26" s="56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276</v>
      </c>
      <c r="C30" s="26"/>
      <c r="D30" s="22">
        <f>+D16-D18+D28</f>
        <v>-479.29</v>
      </c>
      <c r="E30" s="13"/>
      <c r="F30" s="20">
        <f>IF(D$12=0,0,D30/D$12)</f>
        <v>0</v>
      </c>
      <c r="G30" s="13"/>
      <c r="H30" s="22">
        <f>+H16-H18+H28</f>
        <v>-278.25</v>
      </c>
      <c r="I30" s="13"/>
      <c r="J30" s="20">
        <f>IF(H$12=0,0,H30/H$12)</f>
        <v>0</v>
      </c>
      <c r="K30" s="15"/>
      <c r="L30" s="22">
        <f>+D30-H30</f>
        <v>-201.04000000000002</v>
      </c>
      <c r="M30" s="15"/>
      <c r="N30" s="20">
        <f>IF(H30=0,0,L30/H30)</f>
        <v>0.72251572327044034</v>
      </c>
      <c r="O30" s="25"/>
      <c r="P30" s="22">
        <f>+P16-P18+P28</f>
        <v>-1917.16</v>
      </c>
      <c r="Q30" s="13"/>
      <c r="R30" s="20">
        <f>IF(P$12=0,0,P30/P$12)</f>
        <v>0</v>
      </c>
      <c r="S30" s="13"/>
      <c r="T30" s="22">
        <f>+T16-T18+T28</f>
        <v>-2818.0099999999998</v>
      </c>
      <c r="U30" s="13"/>
      <c r="V30" s="20">
        <f>IF(T$12=0,0,T30/T$12)</f>
        <v>0</v>
      </c>
      <c r="W30" s="15"/>
      <c r="X30" s="22">
        <f>+P30-T30</f>
        <v>900.84999999999968</v>
      </c>
      <c r="Y30" s="15"/>
      <c r="Z30" s="20">
        <f>IF(T30=0,0,X30/T30)</f>
        <v>-0.3196759415332095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125</v>
      </c>
      <c r="C34" s="26"/>
      <c r="D34" s="33">
        <f>+D30-D32</f>
        <v>-479.29</v>
      </c>
      <c r="E34" s="13"/>
      <c r="F34" s="31">
        <f>IF(D$12=0,0,D34/D$12)</f>
        <v>0</v>
      </c>
      <c r="G34" s="13"/>
      <c r="H34" s="33">
        <f>+H30-H32</f>
        <v>-278.25</v>
      </c>
      <c r="I34" s="13"/>
      <c r="J34" s="31">
        <f>IF(H$12=0,0,H34/H$12)</f>
        <v>0</v>
      </c>
      <c r="K34" s="15"/>
      <c r="L34" s="33">
        <f>D34-H34</f>
        <v>-201.04000000000002</v>
      </c>
      <c r="M34" s="15"/>
      <c r="N34" s="31">
        <f>IF(H34=0,0,L34/H34)</f>
        <v>0.72251572327044034</v>
      </c>
      <c r="O34" s="25"/>
      <c r="P34" s="33">
        <f>+P30-P32</f>
        <v>-1917.16</v>
      </c>
      <c r="Q34" s="13"/>
      <c r="R34" s="31">
        <f>IF(P$12=0,0,P34/P$12)</f>
        <v>0</v>
      </c>
      <c r="S34" s="13"/>
      <c r="T34" s="33">
        <f>+T30-T32</f>
        <v>-2818.0099999999998</v>
      </c>
      <c r="U34" s="13"/>
      <c r="V34" s="31">
        <f>IF(T$12=0,0,T34/T$12)</f>
        <v>0</v>
      </c>
      <c r="W34" s="15"/>
      <c r="X34" s="33">
        <f>P34-T34</f>
        <v>900.84999999999968</v>
      </c>
      <c r="Y34" s="15"/>
      <c r="Z34" s="31">
        <f>IF(T34=0,0,X34/T34)</f>
        <v>-0.3196759415332095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293</v>
      </c>
      <c r="C37" s="26"/>
      <c r="D37" s="34">
        <f>SUM(D34:D36)</f>
        <v>-479.29</v>
      </c>
      <c r="E37" s="13"/>
      <c r="F37" s="30">
        <f>IF(D$12=0,0,D37/D$12)</f>
        <v>0</v>
      </c>
      <c r="G37" s="13"/>
      <c r="H37" s="34">
        <f>SUM(H34:H36)</f>
        <v>-278.25</v>
      </c>
      <c r="I37" s="13"/>
      <c r="J37" s="30">
        <f>IF(H$12=0,0,H37/H$12)</f>
        <v>0</v>
      </c>
      <c r="K37" s="15"/>
      <c r="L37" s="34">
        <f>+D37-H37</f>
        <v>-201.04000000000002</v>
      </c>
      <c r="M37" s="15"/>
      <c r="N37" s="30">
        <f>IF(H37=0,0,L37/H37)</f>
        <v>0.72251572327044034</v>
      </c>
      <c r="O37" s="25"/>
      <c r="P37" s="34">
        <f>SUM(P34:P36)</f>
        <v>-1917.16</v>
      </c>
      <c r="Q37" s="13"/>
      <c r="R37" s="30">
        <f>IF(P$12=0,0,P37/P$12)</f>
        <v>0</v>
      </c>
      <c r="S37" s="13"/>
      <c r="T37" s="34">
        <f>SUM(T34:T36)</f>
        <v>-2818.0099999999998</v>
      </c>
      <c r="U37" s="13"/>
      <c r="V37" s="30">
        <f>IF(T$12=0,0,T37/T$12)</f>
        <v>0</v>
      </c>
      <c r="W37" s="15"/>
      <c r="X37" s="34">
        <f>+P37-T37</f>
        <v>900.84999999999968</v>
      </c>
      <c r="Y37" s="15"/>
      <c r="Z37" s="30">
        <f>IF(T37=0,0,X37/T37)</f>
        <v>-0.3196759415332095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1">
        <v>44517.967041516204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8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4264.84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4264.84</v>
      </c>
      <c r="M12" s="4"/>
      <c r="N12" s="12">
        <f t="shared" ref="N12:N13" si="1">IF(H12=0,0,L12/H12)</f>
        <v>0</v>
      </c>
      <c r="O12" s="10"/>
      <c r="P12" s="4">
        <f>SUM(OSRRefP13x_0)</f>
        <v>4264.84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4264.84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--4264.84</f>
        <v>4264.84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4264.84</v>
      </c>
      <c r="M13" s="2"/>
      <c r="N13" s="19">
        <f t="shared" si="1"/>
        <v>0</v>
      </c>
      <c r="O13" s="11"/>
      <c r="P13" s="2">
        <f>--4264.84</f>
        <v>4264.84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4264.84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>
        <f>SUM(OSRRefD16x_0)</f>
        <v>6982.02</v>
      </c>
      <c r="E15" s="4"/>
      <c r="F15" s="12">
        <f t="shared" ref="F15:F16" si="4">IF(D$12=0,0,D15/D$12)</f>
        <v>1.6371118260005064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6982.02</v>
      </c>
      <c r="M15" s="4"/>
      <c r="N15" s="12">
        <f t="shared" ref="N15:N16" si="7">IF(H15=0,0,L15/H15)</f>
        <v>0</v>
      </c>
      <c r="O15" s="10"/>
      <c r="P15" s="4">
        <f>SUM(OSRRefP16x_0)</f>
        <v>5947.29</v>
      </c>
      <c r="Q15" s="4"/>
      <c r="R15" s="12">
        <f t="shared" ref="R15:R16" si="8">IF(P$12=0,0,P15/P$12)</f>
        <v>1.3944931111131953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5947.29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6982.02</v>
      </c>
      <c r="E16" s="2"/>
      <c r="F16" s="19">
        <f t="shared" si="4"/>
        <v>1.6371118260005064</v>
      </c>
      <c r="G16" s="2"/>
      <c r="H16" s="2"/>
      <c r="I16" s="2"/>
      <c r="J16" s="19">
        <f t="shared" si="5"/>
        <v>0</v>
      </c>
      <c r="K16" s="2"/>
      <c r="L16" s="2">
        <f t="shared" si="6"/>
        <v>6982.02</v>
      </c>
      <c r="M16" s="2"/>
      <c r="N16" s="19">
        <f t="shared" si="7"/>
        <v>0</v>
      </c>
      <c r="O16" s="11"/>
      <c r="P16" s="2">
        <v>5947.29</v>
      </c>
      <c r="Q16" s="2"/>
      <c r="R16" s="19">
        <f t="shared" si="8"/>
        <v>1.3944931111131953</v>
      </c>
      <c r="S16" s="2"/>
      <c r="T16" s="2"/>
      <c r="U16" s="2"/>
      <c r="V16" s="19">
        <f t="shared" si="9"/>
        <v>0</v>
      </c>
      <c r="W16" s="2"/>
      <c r="X16" s="2">
        <f t="shared" si="10"/>
        <v>5947.29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>
        <f>D12-D15</f>
        <v>-2717.1800000000003</v>
      </c>
      <c r="E18" s="13"/>
      <c r="F18" s="20">
        <f>IF(D$12=0,0,D18/D$12)</f>
        <v>-0.63711182600050653</v>
      </c>
      <c r="G18" s="13"/>
      <c r="H18" s="22">
        <f>H12-H15</f>
        <v>0</v>
      </c>
      <c r="I18" s="13"/>
      <c r="J18" s="20">
        <f>IF(H$12=0,0,H18/H$12)</f>
        <v>0</v>
      </c>
      <c r="K18" s="15"/>
      <c r="L18" s="22">
        <f>+D18-H18</f>
        <v>-2717.1800000000003</v>
      </c>
      <c r="M18" s="15"/>
      <c r="N18" s="20">
        <f>IF(H18=0,0,L18/H18)</f>
        <v>0</v>
      </c>
      <c r="O18" s="25"/>
      <c r="P18" s="22">
        <f>P12-P15</f>
        <v>-1682.4499999999998</v>
      </c>
      <c r="Q18" s="13"/>
      <c r="R18" s="20">
        <f>IF(P$12=0,0,P18/P$12)</f>
        <v>-0.39449311111319529</v>
      </c>
      <c r="S18" s="13"/>
      <c r="T18" s="22">
        <f>T12-T15</f>
        <v>0</v>
      </c>
      <c r="U18" s="13"/>
      <c r="V18" s="20">
        <f>IF(T$12=0,0,T18/T$12)</f>
        <v>0</v>
      </c>
      <c r="W18" s="15"/>
      <c r="X18" s="22">
        <f>+P18-T18</f>
        <v>-1682.4499999999998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>
        <f>SUM(OSRRefD22x_0)</f>
        <v>4003.12</v>
      </c>
      <c r="E20" s="21"/>
      <c r="F20" s="36">
        <f t="shared" ref="F20:F26" si="12">IF(D$12=0,0,D20/D$12)</f>
        <v>0.93863310229692076</v>
      </c>
      <c r="G20" s="21"/>
      <c r="H20" s="21">
        <f>SUM(OSRRefH22x_0)</f>
        <v>1021.4499999999999</v>
      </c>
      <c r="I20" s="21"/>
      <c r="J20" s="36">
        <f t="shared" ref="J20:J26" si="13">IF(H$12=0,0,H20/H$12)</f>
        <v>0</v>
      </c>
      <c r="K20" s="4"/>
      <c r="L20" s="21">
        <f t="shared" ref="L20:L26" si="14">+D20-H20</f>
        <v>2981.67</v>
      </c>
      <c r="M20" s="4"/>
      <c r="N20" s="36">
        <f t="shared" ref="N20:N26" si="15">IF(H20=0,0,L20/H20)</f>
        <v>2.91905624357531</v>
      </c>
      <c r="O20" s="10"/>
      <c r="P20" s="21">
        <f>SUM(OSRRefP22x_0)</f>
        <v>7005.85</v>
      </c>
      <c r="Q20" s="21"/>
      <c r="R20" s="36">
        <f t="shared" ref="R20:R26" si="16">IF(P$12=0,0,P20/P$12)</f>
        <v>1.6426993744196734</v>
      </c>
      <c r="S20" s="21"/>
      <c r="T20" s="21">
        <f>SUM(OSRRefT22x_0)</f>
        <v>7170.34</v>
      </c>
      <c r="U20" s="21"/>
      <c r="V20" s="36">
        <f t="shared" ref="V20:V26" si="17">IF(T$12=0,0,T20/T$12)</f>
        <v>0</v>
      </c>
      <c r="W20" s="4"/>
      <c r="X20" s="21">
        <f t="shared" ref="X20:X26" si="18">+P20-T20</f>
        <v>-164.48999999999978</v>
      </c>
      <c r="Y20" s="4"/>
      <c r="Z20" s="36">
        <f t="shared" ref="Z20:Z26" si="19">IF(T20=0,0,X20/T20)</f>
        <v>-2.2940334767946817E-2</v>
      </c>
    </row>
    <row r="21" spans="1:26" s="28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1419.75</v>
      </c>
      <c r="U21" s="1"/>
      <c r="V21" s="5">
        <f t="shared" si="17"/>
        <v>0</v>
      </c>
      <c r="W21" s="1"/>
      <c r="X21" s="1">
        <f t="shared" si="18"/>
        <v>-1419.75</v>
      </c>
      <c r="Y21" s="1"/>
      <c r="Z21" s="5">
        <f t="shared" si="19"/>
        <v>-1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/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170.79</v>
      </c>
      <c r="U22" s="2"/>
      <c r="V22" s="7">
        <f t="shared" si="17"/>
        <v>0</v>
      </c>
      <c r="W22" s="2"/>
      <c r="X22" s="6">
        <f t="shared" si="18"/>
        <v>-170.79</v>
      </c>
      <c r="Y22" s="2"/>
      <c r="Z22" s="7">
        <f t="shared" si="19"/>
        <v>-1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12"/>
        <v>0</v>
      </c>
      <c r="G23" s="2"/>
      <c r="H23" s="6"/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699.3</v>
      </c>
      <c r="U23" s="2"/>
      <c r="V23" s="7">
        <f t="shared" si="17"/>
        <v>0</v>
      </c>
      <c r="W23" s="2"/>
      <c r="X23" s="6">
        <f t="shared" si="18"/>
        <v>-699.3</v>
      </c>
      <c r="Y23" s="2"/>
      <c r="Z23" s="7">
        <f t="shared" si="19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355.22</v>
      </c>
      <c r="U24" s="2"/>
      <c r="V24" s="7">
        <f t="shared" si="17"/>
        <v>0</v>
      </c>
      <c r="W24" s="2"/>
      <c r="X24" s="6">
        <f t="shared" si="18"/>
        <v>-355.22</v>
      </c>
      <c r="Y24" s="2"/>
      <c r="Z24" s="7">
        <f t="shared" si="19"/>
        <v>-1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88.46</v>
      </c>
      <c r="U25" s="2"/>
      <c r="V25" s="7">
        <f t="shared" si="17"/>
        <v>0</v>
      </c>
      <c r="W25" s="2"/>
      <c r="X25" s="6">
        <f t="shared" si="18"/>
        <v>-88.46</v>
      </c>
      <c r="Y25" s="2"/>
      <c r="Z25" s="7">
        <f t="shared" si="19"/>
        <v>-1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105.98</v>
      </c>
      <c r="U26" s="2"/>
      <c r="V26" s="7">
        <f t="shared" si="17"/>
        <v>0</v>
      </c>
      <c r="W26" s="2"/>
      <c r="X26" s="6">
        <f t="shared" si="18"/>
        <v>-105.98</v>
      </c>
      <c r="Y26" s="2"/>
      <c r="Z26" s="7">
        <f t="shared" si="19"/>
        <v>-1</v>
      </c>
    </row>
    <row r="27" spans="1:26" s="28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42" si="20">IF(D$12=0,0,D27/D$12)</f>
        <v>0</v>
      </c>
      <c r="G27" s="1"/>
      <c r="H27" s="1">
        <f>SUM(OSRRefH22_1x_0)</f>
        <v>0</v>
      </c>
      <c r="I27" s="1"/>
      <c r="J27" s="5">
        <f t="shared" ref="J27:J42" si="21">IF(H$12=0,0,H27/H$12)</f>
        <v>0</v>
      </c>
      <c r="K27" s="1"/>
      <c r="L27" s="1">
        <f t="shared" ref="L27:L42" si="22">+D27-H27</f>
        <v>0</v>
      </c>
      <c r="M27" s="1"/>
      <c r="N27" s="5">
        <f t="shared" ref="N27:N42" si="23">IF(H27=0,0,L27/H27)</f>
        <v>0</v>
      </c>
      <c r="O27" s="14"/>
      <c r="P27" s="1">
        <f>SUM(OSRRefP22_1x_0)</f>
        <v>0</v>
      </c>
      <c r="Q27" s="1"/>
      <c r="R27" s="5">
        <f t="shared" ref="R27:R42" si="24">IF(P$12=0,0,P27/P$12)</f>
        <v>0</v>
      </c>
      <c r="S27" s="1"/>
      <c r="T27" s="1">
        <f>SUM(OSRRefT22_1x_0)</f>
        <v>1378.61</v>
      </c>
      <c r="U27" s="1"/>
      <c r="V27" s="5">
        <f t="shared" ref="V27:V42" si="25">IF(T$12=0,0,T27/T$12)</f>
        <v>0</v>
      </c>
      <c r="W27" s="1"/>
      <c r="X27" s="1">
        <f t="shared" ref="X27:X42" si="26">+P27-T27</f>
        <v>-1378.61</v>
      </c>
      <c r="Y27" s="1"/>
      <c r="Z27" s="5">
        <f t="shared" ref="Z27:Z42" si="27">IF(T27=0,0,X27/T27)</f>
        <v>-1</v>
      </c>
    </row>
    <row r="28" spans="1:26" s="24" customFormat="1" hidden="1" outlineLevel="2" x14ac:dyDescent="0.25">
      <c r="A28" s="29"/>
      <c r="B28" s="11" t="str">
        <f>CONCATENATE("          ", "6002", " - ", "STAFF SALARIES")</f>
        <v xml:space="preserve">          6002 - STAFF SALARIES</v>
      </c>
      <c r="C28" s="11"/>
      <c r="D28" s="6"/>
      <c r="E28" s="2"/>
      <c r="F28" s="7">
        <f t="shared" si="20"/>
        <v>0</v>
      </c>
      <c r="G28" s="2"/>
      <c r="H28" s="6"/>
      <c r="I28" s="2"/>
      <c r="J28" s="7">
        <f t="shared" si="21"/>
        <v>0</v>
      </c>
      <c r="K28" s="2"/>
      <c r="L28" s="6">
        <f t="shared" si="22"/>
        <v>0</v>
      </c>
      <c r="M28" s="2"/>
      <c r="N28" s="7">
        <f t="shared" si="23"/>
        <v>0</v>
      </c>
      <c r="O28" s="11"/>
      <c r="P28" s="6"/>
      <c r="Q28" s="2"/>
      <c r="R28" s="7">
        <f t="shared" si="24"/>
        <v>0</v>
      </c>
      <c r="S28" s="2"/>
      <c r="T28" s="6">
        <v>1378.61</v>
      </c>
      <c r="U28" s="2"/>
      <c r="V28" s="7">
        <f t="shared" si="25"/>
        <v>0</v>
      </c>
      <c r="W28" s="2"/>
      <c r="X28" s="6">
        <f t="shared" si="26"/>
        <v>-1378.61</v>
      </c>
      <c r="Y28" s="2"/>
      <c r="Z28" s="7">
        <f t="shared" si="27"/>
        <v>-1</v>
      </c>
    </row>
    <row r="29" spans="1:26" s="28" customFormat="1" outlineLevel="1" collapsed="1" x14ac:dyDescent="0.25">
      <c r="A29" s="27"/>
      <c r="B29" s="14" t="str">
        <f>CONCATENATE("     ","Bank/card Fees                                    ")</f>
        <v xml:space="preserve">     Bank/card Fees                                    </v>
      </c>
      <c r="C29" s="14"/>
      <c r="D29" s="1">
        <f>SUM(OSRRefD22_2x_0)</f>
        <v>64.73</v>
      </c>
      <c r="E29" s="1"/>
      <c r="F29" s="5">
        <f t="shared" si="20"/>
        <v>1.5177591656427909E-2</v>
      </c>
      <c r="G29" s="1"/>
      <c r="H29" s="1">
        <f>SUM(OSRRefH22_2x_0)</f>
        <v>0</v>
      </c>
      <c r="I29" s="1"/>
      <c r="J29" s="5">
        <f t="shared" si="21"/>
        <v>0</v>
      </c>
      <c r="K29" s="1"/>
      <c r="L29" s="1">
        <f t="shared" si="22"/>
        <v>64.73</v>
      </c>
      <c r="M29" s="1"/>
      <c r="N29" s="5">
        <f t="shared" si="23"/>
        <v>0</v>
      </c>
      <c r="O29" s="14"/>
      <c r="P29" s="1">
        <f>SUM(OSRRefP22_2x_0)</f>
        <v>64.73</v>
      </c>
      <c r="Q29" s="1"/>
      <c r="R29" s="5">
        <f t="shared" si="24"/>
        <v>1.5177591656427909E-2</v>
      </c>
      <c r="S29" s="1"/>
      <c r="T29" s="1">
        <f>SUM(OSRRefT22_2x_0)</f>
        <v>0</v>
      </c>
      <c r="U29" s="1"/>
      <c r="V29" s="5">
        <f t="shared" si="25"/>
        <v>0</v>
      </c>
      <c r="W29" s="1"/>
      <c r="X29" s="1">
        <f t="shared" si="26"/>
        <v>64.73</v>
      </c>
      <c r="Y29" s="1"/>
      <c r="Z29" s="5">
        <f t="shared" si="27"/>
        <v>0</v>
      </c>
    </row>
    <row r="30" spans="1:26" s="24" customFormat="1" hidden="1" outlineLevel="2" x14ac:dyDescent="0.25">
      <c r="A30" s="29"/>
      <c r="B30" s="11" t="str">
        <f>CONCATENATE("          ", "6381", " - ", "BANK/CREDIT CARD FEES")</f>
        <v xml:space="preserve">          6381 - BANK/CREDIT CARD FEES</v>
      </c>
      <c r="C30" s="11"/>
      <c r="D30" s="6">
        <v>64.73</v>
      </c>
      <c r="E30" s="2"/>
      <c r="F30" s="7">
        <f t="shared" si="20"/>
        <v>1.5177591656427909E-2</v>
      </c>
      <c r="G30" s="2"/>
      <c r="H30" s="6"/>
      <c r="I30" s="2"/>
      <c r="J30" s="7">
        <f t="shared" si="21"/>
        <v>0</v>
      </c>
      <c r="K30" s="2"/>
      <c r="L30" s="6">
        <f t="shared" si="22"/>
        <v>64.73</v>
      </c>
      <c r="M30" s="2"/>
      <c r="N30" s="7">
        <f t="shared" si="23"/>
        <v>0</v>
      </c>
      <c r="O30" s="11"/>
      <c r="P30" s="6">
        <v>64.73</v>
      </c>
      <c r="Q30" s="2"/>
      <c r="R30" s="7">
        <f t="shared" si="24"/>
        <v>1.5177591656427909E-2</v>
      </c>
      <c r="S30" s="2"/>
      <c r="T30" s="6"/>
      <c r="U30" s="2"/>
      <c r="V30" s="7">
        <f t="shared" si="25"/>
        <v>0</v>
      </c>
      <c r="W30" s="2"/>
      <c r="X30" s="6">
        <f t="shared" si="26"/>
        <v>64.73</v>
      </c>
      <c r="Y30" s="2"/>
      <c r="Z30" s="7">
        <f t="shared" si="27"/>
        <v>0</v>
      </c>
    </row>
    <row r="31" spans="1:26" s="28" customFormat="1" outlineLevel="1" collapsed="1" x14ac:dyDescent="0.25">
      <c r="A31" s="27"/>
      <c r="B31" s="14" t="str">
        <f>CONCATENATE("     ","Depreciation                                      ")</f>
        <v xml:space="preserve">     Depreciation                                      </v>
      </c>
      <c r="C31" s="14"/>
      <c r="D31" s="1">
        <f>SUM(OSRRefD22_3x_0)</f>
        <v>1000.91</v>
      </c>
      <c r="E31" s="1"/>
      <c r="F31" s="5">
        <f t="shared" si="20"/>
        <v>0.23468875737425082</v>
      </c>
      <c r="G31" s="1"/>
      <c r="H31" s="1">
        <f>SUM(OSRRefH22_3x_0)</f>
        <v>1000.91</v>
      </c>
      <c r="I31" s="1"/>
      <c r="J31" s="5">
        <f t="shared" si="21"/>
        <v>0</v>
      </c>
      <c r="K31" s="1"/>
      <c r="L31" s="1">
        <f t="shared" si="22"/>
        <v>0</v>
      </c>
      <c r="M31" s="1"/>
      <c r="N31" s="5">
        <f t="shared" si="23"/>
        <v>0</v>
      </c>
      <c r="O31" s="14"/>
      <c r="P31" s="1">
        <f>SUM(OSRRefP22_3x_0)</f>
        <v>4003.64</v>
      </c>
      <c r="Q31" s="1"/>
      <c r="R31" s="5">
        <f t="shared" si="24"/>
        <v>0.93875502949700329</v>
      </c>
      <c r="S31" s="1"/>
      <c r="T31" s="1">
        <f>SUM(OSRRefT22_3x_0)</f>
        <v>4003.64</v>
      </c>
      <c r="U31" s="1"/>
      <c r="V31" s="5">
        <f t="shared" si="25"/>
        <v>0</v>
      </c>
      <c r="W31" s="1"/>
      <c r="X31" s="1">
        <f t="shared" si="26"/>
        <v>0</v>
      </c>
      <c r="Y31" s="1"/>
      <c r="Z31" s="5">
        <f t="shared" si="27"/>
        <v>0</v>
      </c>
    </row>
    <row r="32" spans="1:26" s="24" customFormat="1" hidden="1" outlineLevel="2" x14ac:dyDescent="0.25">
      <c r="A32" s="29"/>
      <c r="B32" s="11" t="str">
        <f>CONCATENATE("          ", "6322", " - ", "EQUIPMENT DEPRECIATION EXPENSE")</f>
        <v xml:space="preserve">          6322 - EQUIPMENT DEPRECIATION EXPENSE</v>
      </c>
      <c r="C32" s="11"/>
      <c r="D32" s="6">
        <v>1000.91</v>
      </c>
      <c r="E32" s="2"/>
      <c r="F32" s="7">
        <f t="shared" si="20"/>
        <v>0.23468875737425082</v>
      </c>
      <c r="G32" s="2"/>
      <c r="H32" s="6">
        <v>1000.91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>
        <v>4003.64</v>
      </c>
      <c r="Q32" s="2"/>
      <c r="R32" s="7">
        <f t="shared" si="24"/>
        <v>0.93875502949700329</v>
      </c>
      <c r="S32" s="2"/>
      <c r="T32" s="6">
        <v>4003.64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8" customFormat="1" outlineLevel="1" collapsed="1" x14ac:dyDescent="0.25">
      <c r="A33" s="27"/>
      <c r="B33" s="14" t="str">
        <f>CONCATENATE("     ","General                                           ")</f>
        <v xml:space="preserve">     General                                           </v>
      </c>
      <c r="C33" s="14"/>
      <c r="D33" s="1">
        <f>SUM(OSRRefD22_4x_0)</f>
        <v>1755</v>
      </c>
      <c r="E33" s="1"/>
      <c r="F33" s="5">
        <f t="shared" si="20"/>
        <v>0.41150430027855672</v>
      </c>
      <c r="G33" s="1"/>
      <c r="H33" s="1">
        <f>SUM(OSRRefH22_4x_0)</f>
        <v>0</v>
      </c>
      <c r="I33" s="1"/>
      <c r="J33" s="5">
        <f t="shared" si="21"/>
        <v>0</v>
      </c>
      <c r="K33" s="1"/>
      <c r="L33" s="1">
        <f t="shared" si="22"/>
        <v>1755</v>
      </c>
      <c r="M33" s="1"/>
      <c r="N33" s="5">
        <f t="shared" si="23"/>
        <v>0</v>
      </c>
      <c r="O33" s="14"/>
      <c r="P33" s="1">
        <f>SUM(OSRRefP22_4x_0)</f>
        <v>1755</v>
      </c>
      <c r="Q33" s="1"/>
      <c r="R33" s="5">
        <f t="shared" si="24"/>
        <v>0.41150430027855672</v>
      </c>
      <c r="S33" s="1"/>
      <c r="T33" s="1">
        <f>SUM(OSRRefT22_4x_0)</f>
        <v>0</v>
      </c>
      <c r="U33" s="1"/>
      <c r="V33" s="5">
        <f t="shared" si="25"/>
        <v>0</v>
      </c>
      <c r="W33" s="1"/>
      <c r="X33" s="1">
        <f t="shared" si="26"/>
        <v>1755</v>
      </c>
      <c r="Y33" s="1"/>
      <c r="Z33" s="5">
        <f t="shared" si="27"/>
        <v>0</v>
      </c>
    </row>
    <row r="34" spans="1:26" s="24" customFormat="1" hidden="1" outlineLevel="2" x14ac:dyDescent="0.25">
      <c r="A34" s="29"/>
      <c r="B34" s="11" t="str">
        <f>CONCATENATE("          ", "6279", " - ", "GENERAL EXPENSE")</f>
        <v xml:space="preserve">          6279 - GENERAL EXPENSE</v>
      </c>
      <c r="C34" s="11"/>
      <c r="D34" s="6">
        <v>1755</v>
      </c>
      <c r="E34" s="2"/>
      <c r="F34" s="7">
        <f t="shared" si="20"/>
        <v>0.41150430027855672</v>
      </c>
      <c r="G34" s="2"/>
      <c r="H34" s="6"/>
      <c r="I34" s="2"/>
      <c r="J34" s="7">
        <f t="shared" si="21"/>
        <v>0</v>
      </c>
      <c r="K34" s="2"/>
      <c r="L34" s="6">
        <f t="shared" si="22"/>
        <v>1755</v>
      </c>
      <c r="M34" s="2"/>
      <c r="N34" s="7">
        <f t="shared" si="23"/>
        <v>0</v>
      </c>
      <c r="O34" s="11"/>
      <c r="P34" s="6">
        <v>1755</v>
      </c>
      <c r="Q34" s="2"/>
      <c r="R34" s="7">
        <f t="shared" si="24"/>
        <v>0.41150430027855672</v>
      </c>
      <c r="S34" s="2"/>
      <c r="T34" s="6"/>
      <c r="U34" s="2"/>
      <c r="V34" s="7">
        <f t="shared" si="25"/>
        <v>0</v>
      </c>
      <c r="W34" s="2"/>
      <c r="X34" s="6">
        <f t="shared" si="26"/>
        <v>1755</v>
      </c>
      <c r="Y34" s="2"/>
      <c r="Z34" s="7">
        <f t="shared" si="27"/>
        <v>0</v>
      </c>
    </row>
    <row r="35" spans="1:26" s="28" customFormat="1" outlineLevel="1" collapsed="1" x14ac:dyDescent="0.25">
      <c r="A35" s="27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SUM(OSRRefD22_5x_0)</f>
        <v>0</v>
      </c>
      <c r="E35" s="1"/>
      <c r="F35" s="5">
        <f t="shared" si="20"/>
        <v>0</v>
      </c>
      <c r="G35" s="1"/>
      <c r="H35" s="1">
        <f>SUM(OSRRefH22_5x_0)</f>
        <v>0</v>
      </c>
      <c r="I35" s="1"/>
      <c r="J35" s="5">
        <f t="shared" si="21"/>
        <v>0</v>
      </c>
      <c r="K35" s="1"/>
      <c r="L35" s="1">
        <f t="shared" si="22"/>
        <v>0</v>
      </c>
      <c r="M35" s="1"/>
      <c r="N35" s="5">
        <f t="shared" si="23"/>
        <v>0</v>
      </c>
      <c r="O35" s="14"/>
      <c r="P35" s="1">
        <f>SUM(OSRRefP22_5x_0)</f>
        <v>0</v>
      </c>
      <c r="Q35" s="1"/>
      <c r="R35" s="5">
        <f t="shared" si="24"/>
        <v>0</v>
      </c>
      <c r="S35" s="1"/>
      <c r="T35" s="1">
        <f>SUM(OSRRefT22_5x_0)</f>
        <v>235.8</v>
      </c>
      <c r="U35" s="1"/>
      <c r="V35" s="5">
        <f t="shared" si="25"/>
        <v>0</v>
      </c>
      <c r="W35" s="1"/>
      <c r="X35" s="1">
        <f t="shared" si="26"/>
        <v>-235.8</v>
      </c>
      <c r="Y35" s="1"/>
      <c r="Z35" s="5">
        <f t="shared" si="27"/>
        <v>-1</v>
      </c>
    </row>
    <row r="36" spans="1:26" s="24" customFormat="1" hidden="1" outlineLevel="2" x14ac:dyDescent="0.25">
      <c r="A36" s="29"/>
      <c r="B36" s="11" t="str">
        <f>CONCATENATE("          ", "6373", " - ", "MAINTENANCE CONTRACTS")</f>
        <v xml:space="preserve">          6373 - MAINTENANCE CONTRACTS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235.8</v>
      </c>
      <c r="U36" s="2"/>
      <c r="V36" s="7">
        <f t="shared" si="25"/>
        <v>0</v>
      </c>
      <c r="W36" s="2"/>
      <c r="X36" s="6">
        <f t="shared" si="26"/>
        <v>-235.8</v>
      </c>
      <c r="Y36" s="2"/>
      <c r="Z36" s="7">
        <f t="shared" si="27"/>
        <v>-1</v>
      </c>
    </row>
    <row r="37" spans="1:26" s="28" customFormat="1" outlineLevel="1" collapsed="1" x14ac:dyDescent="0.25">
      <c r="A37" s="27"/>
      <c r="B37" s="14" t="str">
        <f>CONCATENATE("     ","Royalty &amp; Commissions                             ")</f>
        <v xml:space="preserve">     Royalty &amp; Commissions                             </v>
      </c>
      <c r="C37" s="14"/>
      <c r="D37" s="1">
        <f>SUM(OSRRefD22_6x_0)</f>
        <v>1066.22</v>
      </c>
      <c r="E37" s="1"/>
      <c r="F37" s="5">
        <f t="shared" si="20"/>
        <v>0.25000234475384775</v>
      </c>
      <c r="G37" s="1"/>
      <c r="H37" s="1">
        <f>SUM(OSRRefH22_6x_0)</f>
        <v>0</v>
      </c>
      <c r="I37" s="1"/>
      <c r="J37" s="5">
        <f t="shared" si="21"/>
        <v>0</v>
      </c>
      <c r="K37" s="1"/>
      <c r="L37" s="1">
        <f t="shared" si="22"/>
        <v>1066.22</v>
      </c>
      <c r="M37" s="1"/>
      <c r="N37" s="5">
        <f t="shared" si="23"/>
        <v>0</v>
      </c>
      <c r="O37" s="14"/>
      <c r="P37" s="1">
        <f>SUM(OSRRefP22_6x_0)</f>
        <v>1066.22</v>
      </c>
      <c r="Q37" s="1"/>
      <c r="R37" s="5">
        <f t="shared" si="24"/>
        <v>0.25000234475384775</v>
      </c>
      <c r="S37" s="1"/>
      <c r="T37" s="1">
        <f>SUM(OSRRefT22_6x_0)</f>
        <v>0</v>
      </c>
      <c r="U37" s="1"/>
      <c r="V37" s="5">
        <f t="shared" si="25"/>
        <v>0</v>
      </c>
      <c r="W37" s="1"/>
      <c r="X37" s="1">
        <f t="shared" si="26"/>
        <v>1066.22</v>
      </c>
      <c r="Y37" s="1"/>
      <c r="Z37" s="5">
        <f t="shared" si="27"/>
        <v>0</v>
      </c>
    </row>
    <row r="38" spans="1:26" s="24" customFormat="1" hidden="1" outlineLevel="2" x14ac:dyDescent="0.25">
      <c r="A38" s="29"/>
      <c r="B38" s="11" t="str">
        <f>CONCATENATE("          ", "6254", " - ", "ROYALTY &amp; COMMISSIONS")</f>
        <v xml:space="preserve">          6254 - ROYALTY &amp; COMMISSIONS</v>
      </c>
      <c r="C38" s="11"/>
      <c r="D38" s="6">
        <v>1066.22</v>
      </c>
      <c r="E38" s="2"/>
      <c r="F38" s="7">
        <f t="shared" si="20"/>
        <v>0.25000234475384775</v>
      </c>
      <c r="G38" s="2"/>
      <c r="H38" s="6"/>
      <c r="I38" s="2"/>
      <c r="J38" s="7">
        <f t="shared" si="21"/>
        <v>0</v>
      </c>
      <c r="K38" s="2"/>
      <c r="L38" s="6">
        <f t="shared" si="22"/>
        <v>1066.22</v>
      </c>
      <c r="M38" s="2"/>
      <c r="N38" s="7">
        <f t="shared" si="23"/>
        <v>0</v>
      </c>
      <c r="O38" s="11"/>
      <c r="P38" s="6">
        <v>1066.22</v>
      </c>
      <c r="Q38" s="2"/>
      <c r="R38" s="7">
        <f t="shared" si="24"/>
        <v>0.25000234475384775</v>
      </c>
      <c r="S38" s="2"/>
      <c r="T38" s="6"/>
      <c r="U38" s="2"/>
      <c r="V38" s="7">
        <f t="shared" si="25"/>
        <v>0</v>
      </c>
      <c r="W38" s="2"/>
      <c r="X38" s="6">
        <f t="shared" si="26"/>
        <v>1066.22</v>
      </c>
      <c r="Y38" s="2"/>
      <c r="Z38" s="7">
        <f t="shared" si="27"/>
        <v>0</v>
      </c>
    </row>
    <row r="39" spans="1:26" s="28" customFormat="1" outlineLevel="1" collapsed="1" x14ac:dyDescent="0.25">
      <c r="A39" s="27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SUM(OSRRefD22_7x_0)</f>
        <v>116.26</v>
      </c>
      <c r="E39" s="1"/>
      <c r="F39" s="5">
        <f t="shared" si="20"/>
        <v>2.7260108233837611E-2</v>
      </c>
      <c r="G39" s="1"/>
      <c r="H39" s="1">
        <f>SUM(OSRRefH22_7x_0)</f>
        <v>0</v>
      </c>
      <c r="I39" s="1"/>
      <c r="J39" s="5">
        <f t="shared" si="21"/>
        <v>0</v>
      </c>
      <c r="K39" s="1"/>
      <c r="L39" s="1">
        <f t="shared" si="22"/>
        <v>116.26</v>
      </c>
      <c r="M39" s="1"/>
      <c r="N39" s="5">
        <f t="shared" si="23"/>
        <v>0</v>
      </c>
      <c r="O39" s="14"/>
      <c r="P39" s="1">
        <f>SUM(OSRRefP22_7x_0)</f>
        <v>116.26</v>
      </c>
      <c r="Q39" s="1"/>
      <c r="R39" s="5">
        <f t="shared" si="24"/>
        <v>2.7260108233837611E-2</v>
      </c>
      <c r="S39" s="1"/>
      <c r="T39" s="1">
        <f>SUM(OSRRefT22_7x_0)</f>
        <v>0</v>
      </c>
      <c r="U39" s="1"/>
      <c r="V39" s="5">
        <f t="shared" si="25"/>
        <v>0</v>
      </c>
      <c r="W39" s="1"/>
      <c r="X39" s="1">
        <f t="shared" si="26"/>
        <v>116.26</v>
      </c>
      <c r="Y39" s="1"/>
      <c r="Z39" s="5">
        <f t="shared" si="27"/>
        <v>0</v>
      </c>
    </row>
    <row r="40" spans="1:26" s="24" customFormat="1" hidden="1" outlineLevel="2" x14ac:dyDescent="0.25">
      <c r="A40" s="29"/>
      <c r="B40" s="11" t="str">
        <f>CONCATENATE("          ", "6243", " - ", "PAPER SUPPLIES")</f>
        <v xml:space="preserve">          6243 - PAPER SUPPLIES</v>
      </c>
      <c r="C40" s="11"/>
      <c r="D40" s="6">
        <v>116.26</v>
      </c>
      <c r="E40" s="2"/>
      <c r="F40" s="7">
        <f t="shared" si="20"/>
        <v>2.7260108233837611E-2</v>
      </c>
      <c r="G40" s="2"/>
      <c r="H40" s="6"/>
      <c r="I40" s="2"/>
      <c r="J40" s="7">
        <f t="shared" si="21"/>
        <v>0</v>
      </c>
      <c r="K40" s="2"/>
      <c r="L40" s="6">
        <f t="shared" si="22"/>
        <v>116.26</v>
      </c>
      <c r="M40" s="2"/>
      <c r="N40" s="7">
        <f t="shared" si="23"/>
        <v>0</v>
      </c>
      <c r="O40" s="11"/>
      <c r="P40" s="6">
        <v>116.26</v>
      </c>
      <c r="Q40" s="2"/>
      <c r="R40" s="7">
        <f t="shared" si="24"/>
        <v>2.7260108233837611E-2</v>
      </c>
      <c r="S40" s="2"/>
      <c r="T40" s="6"/>
      <c r="U40" s="2"/>
      <c r="V40" s="7">
        <f t="shared" si="25"/>
        <v>0</v>
      </c>
      <c r="W40" s="2"/>
      <c r="X40" s="6">
        <f t="shared" si="26"/>
        <v>116.26</v>
      </c>
      <c r="Y40" s="2"/>
      <c r="Z40" s="7">
        <f t="shared" si="27"/>
        <v>0</v>
      </c>
    </row>
    <row r="41" spans="1:26" s="28" customFormat="1" outlineLevel="1" collapsed="1" x14ac:dyDescent="0.25">
      <c r="A41" s="27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SUM(OSRRefD22_8x_0)</f>
        <v>0</v>
      </c>
      <c r="E41" s="1"/>
      <c r="F41" s="5">
        <f t="shared" si="20"/>
        <v>0</v>
      </c>
      <c r="G41" s="1"/>
      <c r="H41" s="1">
        <f>SUM(OSRRefH22_8x_0)</f>
        <v>20.54</v>
      </c>
      <c r="I41" s="1"/>
      <c r="J41" s="5">
        <f t="shared" si="21"/>
        <v>0</v>
      </c>
      <c r="K41" s="1"/>
      <c r="L41" s="1">
        <f t="shared" si="22"/>
        <v>-20.54</v>
      </c>
      <c r="M41" s="1"/>
      <c r="N41" s="5">
        <f t="shared" si="23"/>
        <v>-1</v>
      </c>
      <c r="O41" s="14"/>
      <c r="P41" s="1">
        <f>SUM(OSRRefP22_8x_0)</f>
        <v>0</v>
      </c>
      <c r="Q41" s="1"/>
      <c r="R41" s="5">
        <f t="shared" si="24"/>
        <v>0</v>
      </c>
      <c r="S41" s="1"/>
      <c r="T41" s="1">
        <f>SUM(OSRRefT22_8x_0)</f>
        <v>132.54</v>
      </c>
      <c r="U41" s="1"/>
      <c r="V41" s="5">
        <f t="shared" si="25"/>
        <v>0</v>
      </c>
      <c r="W41" s="1"/>
      <c r="X41" s="1">
        <f t="shared" si="26"/>
        <v>-132.54</v>
      </c>
      <c r="Y41" s="1"/>
      <c r="Z41" s="5">
        <f t="shared" si="27"/>
        <v>-1</v>
      </c>
    </row>
    <row r="42" spans="1:26" s="24" customFormat="1" hidden="1" outlineLevel="2" x14ac:dyDescent="0.25">
      <c r="A42" s="29"/>
      <c r="B42" s="11" t="str">
        <f>CONCATENATE("          ", "6309", " - ", "TELEPHONE")</f>
        <v xml:space="preserve">          6309 - TELEPHONE</v>
      </c>
      <c r="C42" s="11"/>
      <c r="D42" s="6"/>
      <c r="E42" s="2"/>
      <c r="F42" s="7">
        <f t="shared" si="20"/>
        <v>0</v>
      </c>
      <c r="G42" s="2"/>
      <c r="H42" s="6">
        <v>20.54</v>
      </c>
      <c r="I42" s="2"/>
      <c r="J42" s="7">
        <f t="shared" si="21"/>
        <v>0</v>
      </c>
      <c r="K42" s="2"/>
      <c r="L42" s="6">
        <f t="shared" si="22"/>
        <v>-20.54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132.54</v>
      </c>
      <c r="U42" s="2"/>
      <c r="V42" s="7">
        <f t="shared" si="25"/>
        <v>0</v>
      </c>
      <c r="W42" s="2"/>
      <c r="X42" s="6">
        <f t="shared" si="26"/>
        <v>-132.54</v>
      </c>
      <c r="Y42" s="2"/>
      <c r="Z42" s="7">
        <f t="shared" si="27"/>
        <v>-1</v>
      </c>
    </row>
    <row r="43" spans="1:26" s="56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276</v>
      </c>
      <c r="C46" s="26"/>
      <c r="D46" s="22">
        <f>+D18-D20+D44</f>
        <v>-6720.3</v>
      </c>
      <c r="E46" s="13"/>
      <c r="F46" s="20">
        <f>IF(D$12=0,0,D46/D$12)</f>
        <v>-1.5757449282974274</v>
      </c>
      <c r="G46" s="13"/>
      <c r="H46" s="22">
        <f>+H18-H20+H44</f>
        <v>-1021.4499999999999</v>
      </c>
      <c r="I46" s="13"/>
      <c r="J46" s="20">
        <f>IF(H$12=0,0,H46/H$12)</f>
        <v>0</v>
      </c>
      <c r="K46" s="15"/>
      <c r="L46" s="22">
        <f>+D46-H46</f>
        <v>-5698.85</v>
      </c>
      <c r="M46" s="15"/>
      <c r="N46" s="20">
        <f>IF(H46=0,0,L46/H46)</f>
        <v>5.5791766606294981</v>
      </c>
      <c r="O46" s="25"/>
      <c r="P46" s="22">
        <f>+P18-P20+P44</f>
        <v>-8688.2999999999993</v>
      </c>
      <c r="Q46" s="13"/>
      <c r="R46" s="20">
        <f>IF(P$12=0,0,P46/P$12)</f>
        <v>-2.0371924855328687</v>
      </c>
      <c r="S46" s="13"/>
      <c r="T46" s="22">
        <f>+T18-T20+T44</f>
        <v>-7170.34</v>
      </c>
      <c r="U46" s="13"/>
      <c r="V46" s="20">
        <f>IF(T$12=0,0,T46/T$12)</f>
        <v>0</v>
      </c>
      <c r="W46" s="15"/>
      <c r="X46" s="22">
        <f>+P46-T46</f>
        <v>-1517.9599999999991</v>
      </c>
      <c r="Y46" s="15"/>
      <c r="Z46" s="20">
        <f>IF(T46=0,0,X46/T46)</f>
        <v>0.21169986360479406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127</v>
      </c>
      <c r="C48" s="10"/>
      <c r="D48" s="4">
        <v>492.98</v>
      </c>
      <c r="E48" s="4"/>
      <c r="F48" s="12">
        <f>IF(D$12=0,0,D48/D$12)</f>
        <v>0.11559167518593898</v>
      </c>
      <c r="G48" s="4"/>
      <c r="H48" s="4"/>
      <c r="I48" s="4"/>
      <c r="J48" s="12">
        <f>IF(H$12=0,0,H48/H$12)</f>
        <v>0</v>
      </c>
      <c r="K48" s="4"/>
      <c r="L48" s="4">
        <f>+D48-H48</f>
        <v>492.98</v>
      </c>
      <c r="M48" s="4"/>
      <c r="N48" s="12">
        <f>IF(H48=0,0,L48/H48)</f>
        <v>0</v>
      </c>
      <c r="O48" s="10"/>
      <c r="P48" s="4">
        <v>492.98</v>
      </c>
      <c r="Q48" s="4"/>
      <c r="R48" s="12">
        <f>IF(P$12=0,0,P48/P$12)</f>
        <v>0.11559167518593898</v>
      </c>
      <c r="S48" s="4"/>
      <c r="T48" s="4"/>
      <c r="U48" s="4"/>
      <c r="V48" s="12">
        <f>IF(T$12=0,0,T48/T$12)</f>
        <v>0</v>
      </c>
      <c r="W48" s="4"/>
      <c r="X48" s="4">
        <f>+P48-T48</f>
        <v>492.98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125</v>
      </c>
      <c r="C50" s="26"/>
      <c r="D50" s="33">
        <f>+D46-D48</f>
        <v>-7213.2800000000007</v>
      </c>
      <c r="E50" s="13"/>
      <c r="F50" s="31">
        <f>IF(D$12=0,0,D50/D$12)</f>
        <v>-1.6913366034833663</v>
      </c>
      <c r="G50" s="13"/>
      <c r="H50" s="33">
        <f>+H46-H48</f>
        <v>-1021.4499999999999</v>
      </c>
      <c r="I50" s="13"/>
      <c r="J50" s="31">
        <f>IF(H$12=0,0,H50/H$12)</f>
        <v>0</v>
      </c>
      <c r="K50" s="15"/>
      <c r="L50" s="33">
        <f>D50-H50</f>
        <v>-6191.8300000000008</v>
      </c>
      <c r="M50" s="15"/>
      <c r="N50" s="31">
        <f>IF(H50=0,0,L50/H50)</f>
        <v>6.0618042978119355</v>
      </c>
      <c r="O50" s="25"/>
      <c r="P50" s="33">
        <f>+P46-P48</f>
        <v>-9181.2799999999988</v>
      </c>
      <c r="Q50" s="13"/>
      <c r="R50" s="31">
        <f>IF(P$12=0,0,P50/P$12)</f>
        <v>-2.1527841607188072</v>
      </c>
      <c r="S50" s="13"/>
      <c r="T50" s="33">
        <f>+T46-T48</f>
        <v>-7170.34</v>
      </c>
      <c r="U50" s="13"/>
      <c r="V50" s="31">
        <f>IF(T$12=0,0,T50/T$12)</f>
        <v>0</v>
      </c>
      <c r="W50" s="15"/>
      <c r="X50" s="33">
        <f>P50-T50</f>
        <v>-2010.9399999999987</v>
      </c>
      <c r="Y50" s="15"/>
      <c r="Z50" s="31">
        <f>IF(T50=0,0,X50/T50)</f>
        <v>0.28045253084233085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293</v>
      </c>
      <c r="C53" s="26"/>
      <c r="D53" s="34">
        <f>SUM(D50:D52)</f>
        <v>-7213.2800000000007</v>
      </c>
      <c r="E53" s="13"/>
      <c r="F53" s="30">
        <f>IF(D$12=0,0,D53/D$12)</f>
        <v>-1.6913366034833663</v>
      </c>
      <c r="G53" s="13"/>
      <c r="H53" s="34">
        <f>SUM(H50:H52)</f>
        <v>-1021.4499999999999</v>
      </c>
      <c r="I53" s="13"/>
      <c r="J53" s="30">
        <f>IF(H$12=0,0,H53/H$12)</f>
        <v>0</v>
      </c>
      <c r="K53" s="15"/>
      <c r="L53" s="34">
        <f>+D53-H53</f>
        <v>-6191.8300000000008</v>
      </c>
      <c r="M53" s="15"/>
      <c r="N53" s="30">
        <f>IF(H53=0,0,L53/H53)</f>
        <v>6.0618042978119355</v>
      </c>
      <c r="O53" s="25"/>
      <c r="P53" s="34">
        <f>SUM(P50:P52)</f>
        <v>-9181.2799999999988</v>
      </c>
      <c r="Q53" s="13"/>
      <c r="R53" s="30">
        <f>IF(P$12=0,0,P53/P$12)</f>
        <v>-2.1527841607188072</v>
      </c>
      <c r="S53" s="13"/>
      <c r="T53" s="34">
        <f>SUM(T50:T52)</f>
        <v>-7170.34</v>
      </c>
      <c r="U53" s="13"/>
      <c r="V53" s="30">
        <f>IF(T$12=0,0,T53/T$12)</f>
        <v>0</v>
      </c>
      <c r="W53" s="15"/>
      <c r="X53" s="34">
        <f>+P53-T53</f>
        <v>-2010.9399999999987</v>
      </c>
      <c r="Y53" s="15"/>
      <c r="Z53" s="30">
        <f>IF(T53=0,0,X53/T53)</f>
        <v>0.28045253084233085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61">
        <v>44517.967041516204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7" t="s">
        <v>56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8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","455", " - ", "Vending (old)")</f>
        <v>Department 455 - Vending (old)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SUM(0)</f>
        <v>0</v>
      </c>
      <c r="E18" s="21"/>
      <c r="F18" s="36">
        <f>IF(D$12=0,0,D18/D$12)</f>
        <v>0</v>
      </c>
      <c r="G18" s="21"/>
      <c r="H18" s="21">
        <f>SUM(0)</f>
        <v>0</v>
      </c>
      <c r="I18" s="21"/>
      <c r="J18" s="36">
        <f>IF(H$12=0,0,H18/H$12)</f>
        <v>0</v>
      </c>
      <c r="K18" s="4"/>
      <c r="L18" s="21">
        <f>+D18-H18</f>
        <v>0</v>
      </c>
      <c r="M18" s="4"/>
      <c r="N18" s="36">
        <f>IF(H18=0,0,L18/H18)</f>
        <v>0</v>
      </c>
      <c r="O18" s="10"/>
      <c r="P18" s="21">
        <f>SUM(0)</f>
        <v>0</v>
      </c>
      <c r="Q18" s="21"/>
      <c r="R18" s="36">
        <f>IF(P$12=0,0,P18/P$12)</f>
        <v>0</v>
      </c>
      <c r="S18" s="21"/>
      <c r="T18" s="21">
        <f>SUM(0)</f>
        <v>0</v>
      </c>
      <c r="U18" s="21"/>
      <c r="V18" s="36">
        <f>IF(T$12=0,0,T18/T$12)</f>
        <v>0</v>
      </c>
      <c r="W18" s="4"/>
      <c r="X18" s="21">
        <f>+P18-T18</f>
        <v>0</v>
      </c>
      <c r="Y18" s="4"/>
      <c r="Z18" s="36">
        <f>IF(T18=0,0,X18/T18)</f>
        <v>0</v>
      </c>
    </row>
    <row r="19" spans="1:26" s="56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5" t="s">
        <v>292</v>
      </c>
      <c r="C20" s="10"/>
      <c r="D20" s="4">
        <f>SUM(OSRRefD25x_0)</f>
        <v>0</v>
      </c>
      <c r="E20" s="4"/>
      <c r="F20" s="12">
        <f t="shared" ref="F20:F22" si="0">IF(D$12=0,0,D20/D$12)</f>
        <v>0</v>
      </c>
      <c r="G20" s="4"/>
      <c r="H20" s="4">
        <f>SUM(OSRRefH25x_0)</f>
        <v>338.19</v>
      </c>
      <c r="I20" s="4"/>
      <c r="J20" s="12">
        <f t="shared" ref="J20:J22" si="1">IF(H$12=0,0,H20/H$12)</f>
        <v>0</v>
      </c>
      <c r="K20" s="4"/>
      <c r="L20" s="4">
        <f t="shared" ref="L20:L22" si="2">+D20-H20</f>
        <v>-338.19</v>
      </c>
      <c r="M20" s="4"/>
      <c r="N20" s="12">
        <f t="shared" ref="N20:N22" si="3">IF(H20=0,0,L20/H20)</f>
        <v>-1</v>
      </c>
      <c r="O20" s="10"/>
      <c r="P20" s="4">
        <f>SUM(OSRRefP25x_0)</f>
        <v>0</v>
      </c>
      <c r="Q20" s="4"/>
      <c r="R20" s="12">
        <f t="shared" ref="R20:R22" si="4">IF(P$12=0,0,P20/P$12)</f>
        <v>0</v>
      </c>
      <c r="S20" s="4"/>
      <c r="T20" s="4">
        <f>SUM(OSRRefT25x_0)</f>
        <v>2527</v>
      </c>
      <c r="U20" s="4"/>
      <c r="V20" s="12">
        <f t="shared" ref="V20:V22" si="5">IF(T$12=0,0,T20/T$12)</f>
        <v>0</v>
      </c>
      <c r="W20" s="4"/>
      <c r="X20" s="4">
        <f t="shared" ref="X20:X22" si="6">+P20-T20</f>
        <v>-2527</v>
      </c>
      <c r="Y20" s="4"/>
      <c r="Z20" s="12">
        <f t="shared" ref="Z20:Z22" si="7">IF(T20=0,0,X20/T20)</f>
        <v>-1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 t="shared" ref="D21:D22" si="8">0</f>
        <v>0</v>
      </c>
      <c r="E21" s="2"/>
      <c r="F21" s="19">
        <f t="shared" si="0"/>
        <v>0</v>
      </c>
      <c r="G21" s="2"/>
      <c r="H21" s="2">
        <f>--338.19</f>
        <v>338.19</v>
      </c>
      <c r="I21" s="2"/>
      <c r="J21" s="19">
        <f t="shared" si="1"/>
        <v>0</v>
      </c>
      <c r="K21" s="2"/>
      <c r="L21" s="2">
        <f t="shared" si="2"/>
        <v>-338.19</v>
      </c>
      <c r="M21" s="2"/>
      <c r="N21" s="19">
        <f t="shared" si="3"/>
        <v>-1</v>
      </c>
      <c r="O21" s="11"/>
      <c r="P21" s="2">
        <f t="shared" ref="P21:P22" si="9">0</f>
        <v>0</v>
      </c>
      <c r="Q21" s="2"/>
      <c r="R21" s="19">
        <f t="shared" si="4"/>
        <v>0</v>
      </c>
      <c r="S21" s="2"/>
      <c r="T21" s="2">
        <f>--1701.82</f>
        <v>1701.82</v>
      </c>
      <c r="U21" s="2"/>
      <c r="V21" s="19">
        <f t="shared" si="5"/>
        <v>0</v>
      </c>
      <c r="W21" s="2"/>
      <c r="X21" s="2">
        <f t="shared" si="6"/>
        <v>-1701.82</v>
      </c>
      <c r="Y21" s="2"/>
      <c r="Z21" s="19">
        <f t="shared" si="7"/>
        <v>-1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 t="shared" si="8"/>
        <v>0</v>
      </c>
      <c r="E22" s="2"/>
      <c r="F22" s="19">
        <f t="shared" si="0"/>
        <v>0</v>
      </c>
      <c r="G22" s="2"/>
      <c r="H22" s="2">
        <f>0</f>
        <v>0</v>
      </c>
      <c r="I22" s="2"/>
      <c r="J22" s="19">
        <f t="shared" si="1"/>
        <v>0</v>
      </c>
      <c r="K22" s="2"/>
      <c r="L22" s="2">
        <f t="shared" si="2"/>
        <v>0</v>
      </c>
      <c r="M22" s="2"/>
      <c r="N22" s="19">
        <f t="shared" si="3"/>
        <v>0</v>
      </c>
      <c r="O22" s="11"/>
      <c r="P22" s="2">
        <f t="shared" si="9"/>
        <v>0</v>
      </c>
      <c r="Q22" s="2"/>
      <c r="R22" s="19">
        <f t="shared" si="4"/>
        <v>0</v>
      </c>
      <c r="S22" s="2"/>
      <c r="T22" s="2">
        <f>--825.18</f>
        <v>825.18</v>
      </c>
      <c r="U22" s="2"/>
      <c r="V22" s="19">
        <f t="shared" si="5"/>
        <v>0</v>
      </c>
      <c r="W22" s="2"/>
      <c r="X22" s="2">
        <f t="shared" si="6"/>
        <v>-825.18</v>
      </c>
      <c r="Y22" s="2"/>
      <c r="Z22" s="19">
        <f t="shared" si="7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276</v>
      </c>
      <c r="C24" s="26"/>
      <c r="D24" s="22">
        <f>+D16-D18+D20</f>
        <v>0</v>
      </c>
      <c r="E24" s="13"/>
      <c r="F24" s="20">
        <f>IF(D$12=0,0,D24/D$12)</f>
        <v>0</v>
      </c>
      <c r="G24" s="13"/>
      <c r="H24" s="22">
        <f>+H16-H18+H20</f>
        <v>338.19</v>
      </c>
      <c r="I24" s="13"/>
      <c r="J24" s="20">
        <f>IF(H$12=0,0,H24/H$12)</f>
        <v>0</v>
      </c>
      <c r="K24" s="15"/>
      <c r="L24" s="22">
        <f>+D24-H24</f>
        <v>-338.19</v>
      </c>
      <c r="M24" s="15"/>
      <c r="N24" s="20">
        <f>IF(H24=0,0,L24/H24)</f>
        <v>-1</v>
      </c>
      <c r="O24" s="25"/>
      <c r="P24" s="22">
        <f>+P16-P18+P20</f>
        <v>0</v>
      </c>
      <c r="Q24" s="13"/>
      <c r="R24" s="20">
        <f>IF(P$12=0,0,P24/P$12)</f>
        <v>0</v>
      </c>
      <c r="S24" s="13"/>
      <c r="T24" s="22">
        <f>+T16-T18+T20</f>
        <v>2527</v>
      </c>
      <c r="U24" s="13"/>
      <c r="V24" s="20">
        <f>IF(T$12=0,0,T24/T$12)</f>
        <v>0</v>
      </c>
      <c r="W24" s="15"/>
      <c r="X24" s="22">
        <f>+P24-T24</f>
        <v>-2527</v>
      </c>
      <c r="Y24" s="15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125</v>
      </c>
      <c r="C28" s="26"/>
      <c r="D28" s="33">
        <f>+D24-D26</f>
        <v>0</v>
      </c>
      <c r="E28" s="13"/>
      <c r="F28" s="31">
        <f>IF(D$12=0,0,D28/D$12)</f>
        <v>0</v>
      </c>
      <c r="G28" s="13"/>
      <c r="H28" s="33">
        <f>+H24-H26</f>
        <v>338.19</v>
      </c>
      <c r="I28" s="13"/>
      <c r="J28" s="31">
        <f>IF(H$12=0,0,H28/H$12)</f>
        <v>0</v>
      </c>
      <c r="K28" s="15"/>
      <c r="L28" s="33">
        <f>D28-H28</f>
        <v>-338.19</v>
      </c>
      <c r="M28" s="15"/>
      <c r="N28" s="31">
        <f>IF(H28=0,0,L28/H28)</f>
        <v>-1</v>
      </c>
      <c r="O28" s="25"/>
      <c r="P28" s="33">
        <f>+P24-P26</f>
        <v>0</v>
      </c>
      <c r="Q28" s="13"/>
      <c r="R28" s="31">
        <f>IF(P$12=0,0,P28/P$12)</f>
        <v>0</v>
      </c>
      <c r="S28" s="13"/>
      <c r="T28" s="33">
        <f>+T24-T26</f>
        <v>2527</v>
      </c>
      <c r="U28" s="13"/>
      <c r="V28" s="31">
        <f>IF(T$12=0,0,T28/T$12)</f>
        <v>0</v>
      </c>
      <c r="W28" s="15"/>
      <c r="X28" s="33">
        <f>P28-T28</f>
        <v>-2527</v>
      </c>
      <c r="Y28" s="15"/>
      <c r="Z28" s="31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293</v>
      </c>
      <c r="C31" s="26"/>
      <c r="D31" s="34">
        <f>SUM(D28:D30)</f>
        <v>0</v>
      </c>
      <c r="E31" s="13"/>
      <c r="F31" s="30">
        <f>IF(D$12=0,0,D31/D$12)</f>
        <v>0</v>
      </c>
      <c r="G31" s="13"/>
      <c r="H31" s="34">
        <f>SUM(H28:H30)</f>
        <v>338.19</v>
      </c>
      <c r="I31" s="13"/>
      <c r="J31" s="30">
        <f>IF(H$12=0,0,H31/H$12)</f>
        <v>0</v>
      </c>
      <c r="K31" s="15"/>
      <c r="L31" s="34">
        <f>+D31-H31</f>
        <v>-338.19</v>
      </c>
      <c r="M31" s="15"/>
      <c r="N31" s="30">
        <f>IF(H31=0,0,L31/H31)</f>
        <v>-1</v>
      </c>
      <c r="O31" s="25"/>
      <c r="P31" s="34">
        <f>SUM(P28:P30)</f>
        <v>0</v>
      </c>
      <c r="Q31" s="13"/>
      <c r="R31" s="30">
        <f>IF(P$12=0,0,P31/P$12)</f>
        <v>0</v>
      </c>
      <c r="S31" s="13"/>
      <c r="T31" s="34">
        <f>SUM(T28:T30)</f>
        <v>2527</v>
      </c>
      <c r="U31" s="13"/>
      <c r="V31" s="30">
        <f>IF(T$12=0,0,T31/T$12)</f>
        <v>0</v>
      </c>
      <c r="W31" s="15"/>
      <c r="X31" s="34">
        <f>+P31-T31</f>
        <v>-2527</v>
      </c>
      <c r="Y31" s="15"/>
      <c r="Z31" s="30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1">
        <v>44517.967041516204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7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182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1610098.55</v>
      </c>
      <c r="E12" s="4"/>
      <c r="F12" s="12"/>
      <c r="G12" s="4"/>
      <c r="H12" s="4">
        <f>SUM(OSRRefH13x_0)</f>
        <v>152150.81999999998</v>
      </c>
      <c r="I12" s="4"/>
      <c r="J12" s="12"/>
      <c r="K12" s="4"/>
      <c r="L12" s="4">
        <f t="shared" ref="L12:L15" si="0">+D12-H12</f>
        <v>1457947.73</v>
      </c>
      <c r="M12" s="4"/>
      <c r="N12" s="12">
        <f t="shared" ref="N12:N15" si="1">IF(H12=0,0,L12/H12)</f>
        <v>9.5822535166093754</v>
      </c>
      <c r="O12" s="10"/>
      <c r="P12" s="4">
        <f>SUM(OSRRefP13x_0)</f>
        <v>3542904.12</v>
      </c>
      <c r="Q12" s="4"/>
      <c r="R12" s="12"/>
      <c r="S12" s="4"/>
      <c r="T12" s="4">
        <f>SUM(OSRRefT13x_0)</f>
        <v>443661.80000000005</v>
      </c>
      <c r="U12" s="4"/>
      <c r="V12" s="12"/>
      <c r="W12" s="4"/>
      <c r="X12" s="4">
        <f t="shared" ref="X12:X15" si="2">+P12-T12</f>
        <v>3099242.3200000003</v>
      </c>
      <c r="Y12" s="4"/>
      <c r="Z12" s="12">
        <f t="shared" ref="Z12:Z15" si="3">IF(T12=0,0,X12/T12)</f>
        <v>6.9855965061675356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--645.73</f>
        <v>645.73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645.73</v>
      </c>
      <c r="M13" s="2"/>
      <c r="N13" s="19">
        <f t="shared" si="1"/>
        <v>0</v>
      </c>
      <c r="O13" s="11"/>
      <c r="P13" s="2">
        <f>--1780.66</f>
        <v>1780.66</v>
      </c>
      <c r="Q13" s="2"/>
      <c r="R13" s="19"/>
      <c r="S13" s="2"/>
      <c r="T13" s="2">
        <f>--402.44</f>
        <v>402.44</v>
      </c>
      <c r="U13" s="2"/>
      <c r="V13" s="19"/>
      <c r="W13" s="2"/>
      <c r="X13" s="2">
        <f t="shared" si="2"/>
        <v>1378.22</v>
      </c>
      <c r="Y13" s="2"/>
      <c r="Z13" s="19">
        <f t="shared" si="3"/>
        <v>3.4246595765828447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--1597325.45</f>
        <v>1597325.45</v>
      </c>
      <c r="E14" s="2"/>
      <c r="F14" s="19"/>
      <c r="G14" s="2"/>
      <c r="H14" s="2">
        <f>--166628.02</f>
        <v>166628.01999999999</v>
      </c>
      <c r="I14" s="2"/>
      <c r="J14" s="19"/>
      <c r="K14" s="2"/>
      <c r="L14" s="2">
        <f t="shared" si="0"/>
        <v>1430697.43</v>
      </c>
      <c r="M14" s="2"/>
      <c r="N14" s="19">
        <f t="shared" si="1"/>
        <v>8.586175542384769</v>
      </c>
      <c r="O14" s="11"/>
      <c r="P14" s="2">
        <f>--3496718.76</f>
        <v>3496718.76</v>
      </c>
      <c r="Q14" s="2"/>
      <c r="R14" s="19"/>
      <c r="S14" s="2"/>
      <c r="T14" s="2">
        <f>--427492.78</f>
        <v>427492.78</v>
      </c>
      <c r="U14" s="2"/>
      <c r="V14" s="19"/>
      <c r="W14" s="2"/>
      <c r="X14" s="2">
        <f t="shared" si="2"/>
        <v>3069225.9799999995</v>
      </c>
      <c r="Y14" s="2"/>
      <c r="Z14" s="19">
        <f t="shared" si="3"/>
        <v>7.1795972320281045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--12127.37</f>
        <v>12127.37</v>
      </c>
      <c r="E15" s="2"/>
      <c r="F15" s="19"/>
      <c r="G15" s="2"/>
      <c r="H15" s="2">
        <f>-14477.2</f>
        <v>-14477.2</v>
      </c>
      <c r="I15" s="2"/>
      <c r="J15" s="19"/>
      <c r="K15" s="2"/>
      <c r="L15" s="2">
        <f t="shared" si="0"/>
        <v>26604.57</v>
      </c>
      <c r="M15" s="2"/>
      <c r="N15" s="19">
        <f t="shared" si="1"/>
        <v>-1.8376875362639182</v>
      </c>
      <c r="O15" s="11"/>
      <c r="P15" s="2">
        <f>--44404.7</f>
        <v>44404.7</v>
      </c>
      <c r="Q15" s="2"/>
      <c r="R15" s="19"/>
      <c r="S15" s="2"/>
      <c r="T15" s="2">
        <f>--15766.58</f>
        <v>15766.58</v>
      </c>
      <c r="U15" s="2"/>
      <c r="V15" s="19"/>
      <c r="W15" s="2"/>
      <c r="X15" s="2">
        <f t="shared" si="2"/>
        <v>28638.119999999995</v>
      </c>
      <c r="Y15" s="2"/>
      <c r="Z15" s="19">
        <f t="shared" si="3"/>
        <v>1.8163812316938737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256</v>
      </c>
      <c r="C17" s="10"/>
      <c r="D17" s="4">
        <f>SUM(OSRRefD16x_0)</f>
        <v>446975.07</v>
      </c>
      <c r="E17" s="4"/>
      <c r="F17" s="12">
        <f t="shared" ref="F17:F19" si="4">IF(D$12=0,0,D17/D$12)</f>
        <v>0.2776072744118675</v>
      </c>
      <c r="G17" s="4"/>
      <c r="H17" s="4">
        <f>SUM(OSRRefH16x_0)</f>
        <v>73585.929999999993</v>
      </c>
      <c r="I17" s="4"/>
      <c r="J17" s="12">
        <f t="shared" ref="J17:J19" si="5">IF(H$12=0,0,H17/H$12)</f>
        <v>0.48363807700806349</v>
      </c>
      <c r="K17" s="4"/>
      <c r="L17" s="4">
        <f t="shared" ref="L17:L19" si="6">+D17-H17</f>
        <v>373389.14</v>
      </c>
      <c r="M17" s="4"/>
      <c r="N17" s="12">
        <f t="shared" ref="N17:N19" si="7">IF(H17=0,0,L17/H17)</f>
        <v>5.0741920364395758</v>
      </c>
      <c r="O17" s="10"/>
      <c r="P17" s="4">
        <f>SUM(OSRRefP16x_0)</f>
        <v>996208.1399999999</v>
      </c>
      <c r="Q17" s="4"/>
      <c r="R17" s="12">
        <f t="shared" ref="R17:R19" si="8">IF(P$12=0,0,P17/P$12)</f>
        <v>0.28118405304177407</v>
      </c>
      <c r="S17" s="4"/>
      <c r="T17" s="4">
        <f>SUM(OSRRefT16x_0)</f>
        <v>174994.77000000002</v>
      </c>
      <c r="U17" s="4"/>
      <c r="V17" s="12">
        <f t="shared" ref="V17:V19" si="9">IF(T$12=0,0,T17/T$12)</f>
        <v>0.39443280895492916</v>
      </c>
      <c r="W17" s="4"/>
      <c r="X17" s="4">
        <f t="shared" ref="X17:X19" si="10">+P17-T17</f>
        <v>821213.36999999988</v>
      </c>
      <c r="Y17" s="4"/>
      <c r="Z17" s="12">
        <f t="shared" ref="Z17:Z19" si="11">IF(T17=0,0,X17/T17)</f>
        <v>4.6927880758950673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444320.13</v>
      </c>
      <c r="E18" s="2"/>
      <c r="F18" s="19">
        <f t="shared" si="4"/>
        <v>0.27595834428892568</v>
      </c>
      <c r="G18" s="2"/>
      <c r="H18" s="2">
        <v>60972.03</v>
      </c>
      <c r="I18" s="2"/>
      <c r="J18" s="19">
        <f t="shared" si="5"/>
        <v>0.40073415312516886</v>
      </c>
      <c r="K18" s="2"/>
      <c r="L18" s="2">
        <f t="shared" si="6"/>
        <v>383348.1</v>
      </c>
      <c r="M18" s="2"/>
      <c r="N18" s="19">
        <f t="shared" si="7"/>
        <v>6.2872779535140948</v>
      </c>
      <c r="O18" s="11"/>
      <c r="P18" s="2">
        <v>1052733.2</v>
      </c>
      <c r="Q18" s="2"/>
      <c r="R18" s="19">
        <f t="shared" si="8"/>
        <v>0.29713849552327143</v>
      </c>
      <c r="S18" s="2"/>
      <c r="T18" s="2">
        <v>185907.45</v>
      </c>
      <c r="U18" s="2"/>
      <c r="V18" s="19">
        <f t="shared" si="9"/>
        <v>0.41902965276704013</v>
      </c>
      <c r="W18" s="2"/>
      <c r="X18" s="2">
        <f t="shared" si="10"/>
        <v>866825.75</v>
      </c>
      <c r="Y18" s="2"/>
      <c r="Z18" s="19">
        <f t="shared" si="11"/>
        <v>4.6626735507372077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2654.94</v>
      </c>
      <c r="E19" s="2"/>
      <c r="F19" s="19">
        <f t="shared" si="4"/>
        <v>1.6489301229418534E-3</v>
      </c>
      <c r="G19" s="2"/>
      <c r="H19" s="2">
        <v>12613.9</v>
      </c>
      <c r="I19" s="2"/>
      <c r="J19" s="19">
        <f t="shared" si="5"/>
        <v>8.2903923882894623E-2</v>
      </c>
      <c r="K19" s="2"/>
      <c r="L19" s="2">
        <f t="shared" si="6"/>
        <v>-9958.9599999999991</v>
      </c>
      <c r="M19" s="2"/>
      <c r="N19" s="19">
        <f t="shared" si="7"/>
        <v>-0.78952266943609828</v>
      </c>
      <c r="O19" s="11"/>
      <c r="P19" s="2">
        <v>-56525.06</v>
      </c>
      <c r="Q19" s="2"/>
      <c r="R19" s="19">
        <f t="shared" si="8"/>
        <v>-1.5954442481497352E-2</v>
      </c>
      <c r="S19" s="2"/>
      <c r="T19" s="2">
        <v>-10912.68</v>
      </c>
      <c r="U19" s="2"/>
      <c r="V19" s="19">
        <f t="shared" si="9"/>
        <v>-2.4596843812110934E-2</v>
      </c>
      <c r="W19" s="2"/>
      <c r="X19" s="2">
        <f t="shared" si="10"/>
        <v>-45612.38</v>
      </c>
      <c r="Y19" s="2"/>
      <c r="Z19" s="19">
        <f t="shared" si="11"/>
        <v>4.1797596923945353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107</v>
      </c>
      <c r="C21" s="26"/>
      <c r="D21" s="22">
        <f>D12-D17</f>
        <v>1163123.48</v>
      </c>
      <c r="E21" s="13"/>
      <c r="F21" s="20">
        <f>IF(D$12=0,0,D21/D$12)</f>
        <v>0.7223927255881325</v>
      </c>
      <c r="G21" s="13"/>
      <c r="H21" s="22">
        <f>H12-H17</f>
        <v>78564.889999999985</v>
      </c>
      <c r="I21" s="13"/>
      <c r="J21" s="20">
        <f>IF(H$12=0,0,H21/H$12)</f>
        <v>0.51636192299193651</v>
      </c>
      <c r="K21" s="15"/>
      <c r="L21" s="22">
        <f>+D21-H21</f>
        <v>1084558.5900000001</v>
      </c>
      <c r="M21" s="15"/>
      <c r="N21" s="20">
        <f>IF(H21=0,0,L21/H21)</f>
        <v>13.804621759159852</v>
      </c>
      <c r="O21" s="25"/>
      <c r="P21" s="22">
        <f>P12-P17</f>
        <v>2546695.9800000004</v>
      </c>
      <c r="Q21" s="13"/>
      <c r="R21" s="20">
        <f>IF(P$12=0,0,P21/P$12)</f>
        <v>0.71881594695822604</v>
      </c>
      <c r="S21" s="13"/>
      <c r="T21" s="22">
        <f>T12-T17</f>
        <v>268667.03000000003</v>
      </c>
      <c r="U21" s="13"/>
      <c r="V21" s="20">
        <f>IF(T$12=0,0,T21/T$12)</f>
        <v>0.60556719104507084</v>
      </c>
      <c r="W21" s="15"/>
      <c r="X21" s="22">
        <f>+P21-T21</f>
        <v>2278028.9500000002</v>
      </c>
      <c r="Y21" s="15"/>
      <c r="Z21" s="20">
        <f>IF(T21=0,0,X21/T21)</f>
        <v>8.4790044762842687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294</v>
      </c>
      <c r="C23" s="10"/>
      <c r="D23" s="21">
        <f>SUM(OSRRefD22x_0)</f>
        <v>751485.87000000011</v>
      </c>
      <c r="E23" s="21"/>
      <c r="F23" s="36">
        <f t="shared" ref="F23:F33" si="12">IF(D$12=0,0,D23/D$12)</f>
        <v>0.46673284066990811</v>
      </c>
      <c r="G23" s="21"/>
      <c r="H23" s="21">
        <f>SUM(OSRRefH22x_0)</f>
        <v>287908.50999999995</v>
      </c>
      <c r="I23" s="21"/>
      <c r="J23" s="36">
        <f t="shared" ref="J23:J33" si="13">IF(H$12=0,0,H23/H$12)</f>
        <v>1.8922573667365052</v>
      </c>
      <c r="K23" s="4"/>
      <c r="L23" s="21">
        <f t="shared" ref="L23:L33" si="14">+D23-H23</f>
        <v>463577.36000000016</v>
      </c>
      <c r="M23" s="4"/>
      <c r="N23" s="36">
        <f t="shared" ref="N23:N33" si="15">IF(H23=0,0,L23/H23)</f>
        <v>1.6101551149009115</v>
      </c>
      <c r="O23" s="10"/>
      <c r="P23" s="21">
        <f>SUM(OSRRefP22x_0)</f>
        <v>1759376.66</v>
      </c>
      <c r="Q23" s="21"/>
      <c r="R23" s="36">
        <f t="shared" ref="R23:R33" si="16">IF(P$12=0,0,P23/P$12)</f>
        <v>0.49659166616114914</v>
      </c>
      <c r="S23" s="21"/>
      <c r="T23" s="21">
        <f>SUM(OSRRefT22x_0)</f>
        <v>913835.44000000029</v>
      </c>
      <c r="U23" s="21"/>
      <c r="V23" s="36">
        <f t="shared" ref="V23:V33" si="17">IF(T$12=0,0,T23/T$12)</f>
        <v>2.0597568688582162</v>
      </c>
      <c r="W23" s="4"/>
      <c r="X23" s="21">
        <f t="shared" ref="X23:X33" si="18">+P23-T23</f>
        <v>845541.21999999962</v>
      </c>
      <c r="Y23" s="4"/>
      <c r="Z23" s="36">
        <f t="shared" ref="Z23:Z33" si="19">IF(T23=0,0,X23/T23)</f>
        <v>0.92526639150698664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106577.24000000002</v>
      </c>
      <c r="E24" s="1"/>
      <c r="F24" s="5">
        <f t="shared" si="12"/>
        <v>6.6192991727121314E-2</v>
      </c>
      <c r="G24" s="1"/>
      <c r="H24" s="1">
        <f>SUM(OSRRefH22_0x_0)</f>
        <v>86647.97</v>
      </c>
      <c r="I24" s="1"/>
      <c r="J24" s="5">
        <f t="shared" si="13"/>
        <v>0.56948736786301912</v>
      </c>
      <c r="K24" s="1"/>
      <c r="L24" s="1">
        <f t="shared" si="14"/>
        <v>19929.270000000019</v>
      </c>
      <c r="M24" s="1"/>
      <c r="N24" s="5">
        <f t="shared" si="15"/>
        <v>0.23000273405135768</v>
      </c>
      <c r="O24" s="14"/>
      <c r="P24" s="1">
        <f>SUM(OSRRefP22_0x_0)</f>
        <v>337435.38999999996</v>
      </c>
      <c r="Q24" s="1"/>
      <c r="R24" s="5">
        <f t="shared" si="16"/>
        <v>9.5242597194529766E-2</v>
      </c>
      <c r="S24" s="1"/>
      <c r="T24" s="1">
        <f>SUM(OSRRefT22_0x_0)</f>
        <v>306774.55999999994</v>
      </c>
      <c r="U24" s="1"/>
      <c r="V24" s="5">
        <f t="shared" si="17"/>
        <v>0.69146038716878466</v>
      </c>
      <c r="W24" s="1"/>
      <c r="X24" s="1">
        <f t="shared" si="18"/>
        <v>30660.830000000016</v>
      </c>
      <c r="Y24" s="1"/>
      <c r="Z24" s="5">
        <f t="shared" si="19"/>
        <v>9.9945803850228068E-2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6">
        <v>19505.12</v>
      </c>
      <c r="E25" s="2"/>
      <c r="F25" s="7">
        <f t="shared" si="12"/>
        <v>1.211423983954274E-2</v>
      </c>
      <c r="G25" s="2"/>
      <c r="H25" s="6">
        <v>12597.07</v>
      </c>
      <c r="I25" s="2"/>
      <c r="J25" s="7">
        <f t="shared" si="13"/>
        <v>8.2793309953899705E-2</v>
      </c>
      <c r="K25" s="2"/>
      <c r="L25" s="6">
        <f t="shared" si="14"/>
        <v>6908.0499999999993</v>
      </c>
      <c r="M25" s="2"/>
      <c r="N25" s="7">
        <f t="shared" si="15"/>
        <v>0.54838545788822313</v>
      </c>
      <c r="O25" s="11"/>
      <c r="P25" s="6">
        <v>49559.34</v>
      </c>
      <c r="Q25" s="2"/>
      <c r="R25" s="7">
        <f t="shared" si="16"/>
        <v>1.3988337906248503E-2</v>
      </c>
      <c r="S25" s="2"/>
      <c r="T25" s="6">
        <v>34182.76</v>
      </c>
      <c r="U25" s="2"/>
      <c r="V25" s="7">
        <f t="shared" si="17"/>
        <v>7.7046885713397004E-2</v>
      </c>
      <c r="W25" s="2"/>
      <c r="X25" s="6">
        <f t="shared" si="18"/>
        <v>15376.579999999994</v>
      </c>
      <c r="Y25" s="2"/>
      <c r="Z25" s="7">
        <f t="shared" si="19"/>
        <v>0.44983436094686308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6">
        <v>12766.42</v>
      </c>
      <c r="E26" s="2"/>
      <c r="F26" s="7">
        <f t="shared" si="12"/>
        <v>7.928968074656052E-3</v>
      </c>
      <c r="G26" s="2"/>
      <c r="H26" s="6">
        <v>4831.29</v>
      </c>
      <c r="I26" s="2"/>
      <c r="J26" s="7">
        <f t="shared" si="13"/>
        <v>3.1753295841586662E-2</v>
      </c>
      <c r="K26" s="2"/>
      <c r="L26" s="6">
        <f t="shared" si="14"/>
        <v>7935.13</v>
      </c>
      <c r="M26" s="2"/>
      <c r="N26" s="7">
        <f t="shared" si="15"/>
        <v>1.6424453924314211</v>
      </c>
      <c r="O26" s="11"/>
      <c r="P26" s="6">
        <v>28024.3</v>
      </c>
      <c r="Q26" s="2"/>
      <c r="R26" s="7">
        <f t="shared" si="16"/>
        <v>7.9099797936388969E-3</v>
      </c>
      <c r="S26" s="2"/>
      <c r="T26" s="6">
        <v>17540.63</v>
      </c>
      <c r="U26" s="2"/>
      <c r="V26" s="7">
        <f t="shared" si="17"/>
        <v>3.9536038486973638E-2</v>
      </c>
      <c r="W26" s="2"/>
      <c r="X26" s="6">
        <f t="shared" si="18"/>
        <v>10483.669999999998</v>
      </c>
      <c r="Y26" s="2"/>
      <c r="Z26" s="7">
        <f t="shared" si="19"/>
        <v>0.59767921676701452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6">
        <v>42320.72</v>
      </c>
      <c r="E27" s="2"/>
      <c r="F27" s="7">
        <f t="shared" si="12"/>
        <v>2.6284552582200638E-2</v>
      </c>
      <c r="G27" s="2"/>
      <c r="H27" s="6">
        <v>45706.28</v>
      </c>
      <c r="I27" s="2"/>
      <c r="J27" s="7">
        <f t="shared" si="13"/>
        <v>0.30040114144636226</v>
      </c>
      <c r="K27" s="2"/>
      <c r="L27" s="6">
        <f t="shared" si="14"/>
        <v>-3385.5599999999977</v>
      </c>
      <c r="M27" s="2"/>
      <c r="N27" s="7">
        <f t="shared" si="15"/>
        <v>-7.407209687596536E-2</v>
      </c>
      <c r="O27" s="11"/>
      <c r="P27" s="6">
        <v>169780.77</v>
      </c>
      <c r="Q27" s="2"/>
      <c r="R27" s="7">
        <f t="shared" si="16"/>
        <v>4.7921356110534538E-2</v>
      </c>
      <c r="S27" s="2"/>
      <c r="T27" s="6">
        <v>176179.35</v>
      </c>
      <c r="U27" s="2"/>
      <c r="V27" s="7">
        <f t="shared" si="17"/>
        <v>0.39710281570331274</v>
      </c>
      <c r="W27" s="2"/>
      <c r="X27" s="6">
        <f t="shared" si="18"/>
        <v>-6398.5800000000163</v>
      </c>
      <c r="Y27" s="2"/>
      <c r="Z27" s="7">
        <f t="shared" si="19"/>
        <v>-3.6318558332744534E-2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>
        <v>922</v>
      </c>
      <c r="E28" s="2"/>
      <c r="F28" s="7">
        <f t="shared" si="12"/>
        <v>5.7263575574302583E-4</v>
      </c>
      <c r="G28" s="2"/>
      <c r="H28" s="6">
        <v>292.77999999999997</v>
      </c>
      <c r="I28" s="2"/>
      <c r="J28" s="7">
        <f t="shared" si="13"/>
        <v>1.9242748741018945E-3</v>
      </c>
      <c r="K28" s="2"/>
      <c r="L28" s="6">
        <f t="shared" si="14"/>
        <v>629.22</v>
      </c>
      <c r="M28" s="2"/>
      <c r="N28" s="7">
        <f t="shared" si="15"/>
        <v>2.1491222078010797</v>
      </c>
      <c r="O28" s="11"/>
      <c r="P28" s="6">
        <v>2023.97</v>
      </c>
      <c r="Q28" s="2"/>
      <c r="R28" s="7">
        <f t="shared" si="16"/>
        <v>5.712742799260399E-4</v>
      </c>
      <c r="S28" s="2"/>
      <c r="T28" s="6">
        <v>1143.8399999999999</v>
      </c>
      <c r="U28" s="2"/>
      <c r="V28" s="7">
        <f t="shared" si="17"/>
        <v>2.5781800461522715E-3</v>
      </c>
      <c r="W28" s="2"/>
      <c r="X28" s="6">
        <f t="shared" si="18"/>
        <v>880.13000000000011</v>
      </c>
      <c r="Y28" s="2"/>
      <c r="Z28" s="7">
        <f t="shared" si="19"/>
        <v>0.76945202126171508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6">
        <v>5901.82</v>
      </c>
      <c r="E29" s="2"/>
      <c r="F29" s="7">
        <f t="shared" si="12"/>
        <v>3.6655023383506554E-3</v>
      </c>
      <c r="G29" s="2"/>
      <c r="H29" s="6">
        <v>3352.04</v>
      </c>
      <c r="I29" s="2"/>
      <c r="J29" s="7">
        <f t="shared" si="13"/>
        <v>2.203103473251081E-2</v>
      </c>
      <c r="K29" s="2"/>
      <c r="L29" s="6">
        <f t="shared" si="14"/>
        <v>2549.7799999999997</v>
      </c>
      <c r="M29" s="2"/>
      <c r="N29" s="7">
        <f t="shared" si="15"/>
        <v>0.76066514719394751</v>
      </c>
      <c r="O29" s="11"/>
      <c r="P29" s="6">
        <v>17305.810000000001</v>
      </c>
      <c r="Q29" s="2"/>
      <c r="R29" s="7">
        <f t="shared" si="16"/>
        <v>4.8846396667375806E-3</v>
      </c>
      <c r="S29" s="2"/>
      <c r="T29" s="6">
        <v>15900.16</v>
      </c>
      <c r="U29" s="2"/>
      <c r="V29" s="7">
        <f t="shared" si="17"/>
        <v>3.5838469753312091E-2</v>
      </c>
      <c r="W29" s="2"/>
      <c r="X29" s="6">
        <f t="shared" si="18"/>
        <v>1405.6500000000015</v>
      </c>
      <c r="Y29" s="2"/>
      <c r="Z29" s="7">
        <f t="shared" si="19"/>
        <v>8.8404770769602417E-2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6">
        <v>1868.11</v>
      </c>
      <c r="E30" s="2"/>
      <c r="F30" s="7">
        <f t="shared" si="12"/>
        <v>1.1602457501747329E-3</v>
      </c>
      <c r="G30" s="2"/>
      <c r="H30" s="6">
        <v>1396.69</v>
      </c>
      <c r="I30" s="2"/>
      <c r="J30" s="7">
        <f t="shared" si="13"/>
        <v>9.1796416213859398E-3</v>
      </c>
      <c r="K30" s="2"/>
      <c r="L30" s="6">
        <f t="shared" si="14"/>
        <v>471.41999999999985</v>
      </c>
      <c r="M30" s="2"/>
      <c r="N30" s="7">
        <f t="shared" si="15"/>
        <v>0.33752658070151559</v>
      </c>
      <c r="O30" s="11"/>
      <c r="P30" s="6">
        <v>6485.41</v>
      </c>
      <c r="Q30" s="2"/>
      <c r="R30" s="7">
        <f t="shared" si="16"/>
        <v>1.8305350018899184E-3</v>
      </c>
      <c r="S30" s="2"/>
      <c r="T30" s="6">
        <v>6266.31</v>
      </c>
      <c r="U30" s="2"/>
      <c r="V30" s="7">
        <f t="shared" si="17"/>
        <v>1.412406927979826E-2</v>
      </c>
      <c r="W30" s="2"/>
      <c r="X30" s="6">
        <f t="shared" si="18"/>
        <v>219.09999999999945</v>
      </c>
      <c r="Y30" s="2"/>
      <c r="Z30" s="7">
        <f t="shared" si="19"/>
        <v>3.4964755972813254E-2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6">
        <v>10096.67</v>
      </c>
      <c r="E31" s="2"/>
      <c r="F31" s="7">
        <f t="shared" si="12"/>
        <v>6.2708397569825767E-3</v>
      </c>
      <c r="G31" s="2"/>
      <c r="H31" s="6">
        <v>9308.25</v>
      </c>
      <c r="I31" s="2"/>
      <c r="J31" s="7">
        <f t="shared" si="13"/>
        <v>6.117778399091113E-2</v>
      </c>
      <c r="K31" s="2"/>
      <c r="L31" s="6">
        <f t="shared" si="14"/>
        <v>788.42000000000007</v>
      </c>
      <c r="M31" s="2"/>
      <c r="N31" s="7">
        <f t="shared" si="15"/>
        <v>8.4701205919480035E-2</v>
      </c>
      <c r="O31" s="11"/>
      <c r="P31" s="6">
        <v>29989.61</v>
      </c>
      <c r="Q31" s="2"/>
      <c r="R31" s="7">
        <f t="shared" si="16"/>
        <v>8.4646970350414109E-3</v>
      </c>
      <c r="S31" s="2"/>
      <c r="T31" s="6">
        <v>27045.66</v>
      </c>
      <c r="U31" s="2"/>
      <c r="V31" s="7">
        <f t="shared" si="17"/>
        <v>6.0960082657555814E-2</v>
      </c>
      <c r="W31" s="2"/>
      <c r="X31" s="6">
        <f t="shared" si="18"/>
        <v>2943.9500000000007</v>
      </c>
      <c r="Y31" s="2"/>
      <c r="Z31" s="7">
        <f t="shared" si="19"/>
        <v>0.10885110587059073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6">
        <v>7690.77</v>
      </c>
      <c r="E32" s="2"/>
      <c r="F32" s="7">
        <f t="shared" si="12"/>
        <v>4.7765833960908789E-3</v>
      </c>
      <c r="G32" s="2"/>
      <c r="H32" s="6">
        <v>6012.99</v>
      </c>
      <c r="I32" s="2"/>
      <c r="J32" s="7">
        <f t="shared" si="13"/>
        <v>3.9519931604706439E-2</v>
      </c>
      <c r="K32" s="2"/>
      <c r="L32" s="6">
        <f t="shared" si="14"/>
        <v>1677.7800000000007</v>
      </c>
      <c r="M32" s="2"/>
      <c r="N32" s="7">
        <f t="shared" si="15"/>
        <v>0.27902590890721601</v>
      </c>
      <c r="O32" s="11"/>
      <c r="P32" s="6">
        <v>21254.04</v>
      </c>
      <c r="Q32" s="2"/>
      <c r="R32" s="7">
        <f t="shared" si="16"/>
        <v>5.9990446481515284E-3</v>
      </c>
      <c r="S32" s="2"/>
      <c r="T32" s="6">
        <v>18248.669999999998</v>
      </c>
      <c r="U32" s="2"/>
      <c r="V32" s="7">
        <f t="shared" si="17"/>
        <v>4.1131938787608027E-2</v>
      </c>
      <c r="W32" s="2"/>
      <c r="X32" s="6">
        <f t="shared" si="18"/>
        <v>3005.3700000000026</v>
      </c>
      <c r="Y32" s="2"/>
      <c r="Z32" s="7">
        <f t="shared" si="19"/>
        <v>0.16468981027110485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6">
        <v>5505.61</v>
      </c>
      <c r="E33" s="2"/>
      <c r="F33" s="7">
        <f t="shared" si="12"/>
        <v>3.4194242333800001E-3</v>
      </c>
      <c r="G33" s="2"/>
      <c r="H33" s="6">
        <v>3150.58</v>
      </c>
      <c r="I33" s="2"/>
      <c r="J33" s="7">
        <f t="shared" si="13"/>
        <v>2.0706953797554297E-2</v>
      </c>
      <c r="K33" s="2"/>
      <c r="L33" s="6">
        <f t="shared" si="14"/>
        <v>2355.0299999999997</v>
      </c>
      <c r="M33" s="2"/>
      <c r="N33" s="7">
        <f t="shared" si="15"/>
        <v>0.74749093817646273</v>
      </c>
      <c r="O33" s="11"/>
      <c r="P33" s="6">
        <v>13012.14</v>
      </c>
      <c r="Q33" s="2"/>
      <c r="R33" s="7">
        <f t="shared" si="16"/>
        <v>3.6727327523613591E-3</v>
      </c>
      <c r="S33" s="2"/>
      <c r="T33" s="6">
        <v>10267.18</v>
      </c>
      <c r="U33" s="2"/>
      <c r="V33" s="7">
        <f t="shared" si="17"/>
        <v>2.314190674067499E-2</v>
      </c>
      <c r="W33" s="2"/>
      <c r="X33" s="6">
        <f t="shared" si="18"/>
        <v>2744.9599999999991</v>
      </c>
      <c r="Y33" s="2"/>
      <c r="Z33" s="7">
        <f t="shared" si="19"/>
        <v>0.26735286612292752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389551.13999999996</v>
      </c>
      <c r="E34" s="1"/>
      <c r="F34" s="5">
        <f t="shared" ref="F34:F40" si="20">IF(D$12=0,0,D34/D$12)</f>
        <v>0.24194242023260001</v>
      </c>
      <c r="G34" s="1"/>
      <c r="H34" s="1">
        <f>SUM(OSRRefH22_1x_0)</f>
        <v>143698.02999999997</v>
      </c>
      <c r="I34" s="1"/>
      <c r="J34" s="5">
        <f t="shared" ref="J34:J40" si="21">IF(H$12=0,0,H34/H$12)</f>
        <v>0.94444466352530987</v>
      </c>
      <c r="K34" s="1"/>
      <c r="L34" s="1">
        <f t="shared" ref="L34:L40" si="22">+D34-H34</f>
        <v>245853.11</v>
      </c>
      <c r="M34" s="1"/>
      <c r="N34" s="5">
        <f t="shared" ref="N34:N40" si="23">IF(H34=0,0,L34/H34)</f>
        <v>1.7109010471472714</v>
      </c>
      <c r="O34" s="14"/>
      <c r="P34" s="1">
        <f>SUM(OSRRefP22_1x_0)</f>
        <v>857523.41999999993</v>
      </c>
      <c r="Q34" s="1"/>
      <c r="R34" s="5">
        <f t="shared" ref="R34:R40" si="24">IF(P$12=0,0,P34/P$12)</f>
        <v>0.24203969143822043</v>
      </c>
      <c r="S34" s="1"/>
      <c r="T34" s="1">
        <f>SUM(OSRRefT22_1x_0)</f>
        <v>438311.68000000005</v>
      </c>
      <c r="U34" s="1"/>
      <c r="V34" s="5">
        <f t="shared" ref="V34:V40" si="25">IF(T$12=0,0,T34/T$12)</f>
        <v>0.9879409946946075</v>
      </c>
      <c r="W34" s="1"/>
      <c r="X34" s="1">
        <f t="shared" ref="X34:X40" si="26">+P34-T34</f>
        <v>419211.73999999987</v>
      </c>
      <c r="Y34" s="1"/>
      <c r="Z34" s="5">
        <f t="shared" ref="Z34:Z40" si="27">IF(T34=0,0,X34/T34)</f>
        <v>0.95642383976625911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6">
        <v>11199.31</v>
      </c>
      <c r="E35" s="2"/>
      <c r="F35" s="7">
        <f t="shared" si="20"/>
        <v>6.9556674030915684E-3</v>
      </c>
      <c r="G35" s="2"/>
      <c r="H35" s="6">
        <v>11199.31</v>
      </c>
      <c r="I35" s="2"/>
      <c r="J35" s="7">
        <f t="shared" si="21"/>
        <v>7.3606635836730952E-2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38973.949999999997</v>
      </c>
      <c r="Q35" s="2"/>
      <c r="R35" s="7">
        <f t="shared" si="24"/>
        <v>1.1000565829594055E-2</v>
      </c>
      <c r="S35" s="2"/>
      <c r="T35" s="6">
        <v>36734.11</v>
      </c>
      <c r="U35" s="2"/>
      <c r="V35" s="7">
        <f t="shared" si="25"/>
        <v>8.2797549845400248E-2</v>
      </c>
      <c r="W35" s="2"/>
      <c r="X35" s="6">
        <f t="shared" si="26"/>
        <v>2239.8399999999965</v>
      </c>
      <c r="Y35" s="2"/>
      <c r="Z35" s="7">
        <f t="shared" si="27"/>
        <v>6.0974391376298391E-2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6">
        <v>47299.56</v>
      </c>
      <c r="E36" s="2"/>
      <c r="F36" s="7">
        <f t="shared" si="20"/>
        <v>2.937681050641279E-2</v>
      </c>
      <c r="G36" s="2"/>
      <c r="H36" s="6">
        <v>31630.77</v>
      </c>
      <c r="I36" s="2"/>
      <c r="J36" s="7">
        <f t="shared" si="21"/>
        <v>0.20789089404841857</v>
      </c>
      <c r="K36" s="2"/>
      <c r="L36" s="6">
        <f t="shared" si="22"/>
        <v>15668.789999999997</v>
      </c>
      <c r="M36" s="2"/>
      <c r="N36" s="7">
        <f t="shared" si="23"/>
        <v>0.49536543056017912</v>
      </c>
      <c r="O36" s="11"/>
      <c r="P36" s="6">
        <v>154928.46</v>
      </c>
      <c r="Q36" s="2"/>
      <c r="R36" s="7">
        <f t="shared" si="24"/>
        <v>4.3729227422615091E-2</v>
      </c>
      <c r="S36" s="2"/>
      <c r="T36" s="6">
        <v>121554.6</v>
      </c>
      <c r="U36" s="2"/>
      <c r="V36" s="7">
        <f t="shared" si="25"/>
        <v>0.27398031563682063</v>
      </c>
      <c r="W36" s="2"/>
      <c r="X36" s="6">
        <f t="shared" si="26"/>
        <v>33373.859999999986</v>
      </c>
      <c r="Y36" s="2"/>
      <c r="Z36" s="7">
        <f t="shared" si="27"/>
        <v>0.27455859342221506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6">
        <v>132784.60999999999</v>
      </c>
      <c r="E37" s="2"/>
      <c r="F37" s="7">
        <f t="shared" si="20"/>
        <v>8.2469864965719009E-2</v>
      </c>
      <c r="G37" s="2"/>
      <c r="H37" s="6">
        <v>67702.179999999993</v>
      </c>
      <c r="I37" s="2"/>
      <c r="J37" s="7">
        <f t="shared" si="21"/>
        <v>0.44496756573510415</v>
      </c>
      <c r="K37" s="2"/>
      <c r="L37" s="6">
        <f t="shared" si="22"/>
        <v>65082.429999999993</v>
      </c>
      <c r="M37" s="2"/>
      <c r="N37" s="7">
        <f t="shared" si="23"/>
        <v>0.96130479107172029</v>
      </c>
      <c r="O37" s="11"/>
      <c r="P37" s="6">
        <v>311797.07</v>
      </c>
      <c r="Q37" s="2"/>
      <c r="R37" s="7">
        <f t="shared" si="24"/>
        <v>8.8006070567893321E-2</v>
      </c>
      <c r="S37" s="2"/>
      <c r="T37" s="6">
        <v>191347.69</v>
      </c>
      <c r="U37" s="2"/>
      <c r="V37" s="7">
        <f t="shared" si="25"/>
        <v>0.43129178577015193</v>
      </c>
      <c r="W37" s="2"/>
      <c r="X37" s="6">
        <f t="shared" si="26"/>
        <v>120449.38</v>
      </c>
      <c r="Y37" s="2"/>
      <c r="Z37" s="7">
        <f t="shared" si="27"/>
        <v>0.62947914343779121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6">
        <v>125531.29</v>
      </c>
      <c r="E38" s="2"/>
      <c r="F38" s="7">
        <f t="shared" si="20"/>
        <v>7.7964973013608385E-2</v>
      </c>
      <c r="G38" s="2"/>
      <c r="H38" s="6">
        <v>23204.07</v>
      </c>
      <c r="I38" s="2"/>
      <c r="J38" s="7">
        <f t="shared" si="21"/>
        <v>0.15250703216716152</v>
      </c>
      <c r="K38" s="2"/>
      <c r="L38" s="6">
        <f t="shared" si="22"/>
        <v>102327.22</v>
      </c>
      <c r="M38" s="2"/>
      <c r="N38" s="7">
        <f t="shared" si="23"/>
        <v>4.4098824042506335</v>
      </c>
      <c r="O38" s="11"/>
      <c r="P38" s="6">
        <v>178380.59</v>
      </c>
      <c r="Q38" s="2"/>
      <c r="R38" s="7">
        <f t="shared" si="24"/>
        <v>5.0348692473224481E-2</v>
      </c>
      <c r="S38" s="2"/>
      <c r="T38" s="6">
        <v>37723.81</v>
      </c>
      <c r="U38" s="2"/>
      <c r="V38" s="7">
        <f t="shared" si="25"/>
        <v>8.5028303090326898E-2</v>
      </c>
      <c r="W38" s="2"/>
      <c r="X38" s="6">
        <f t="shared" si="26"/>
        <v>140656.78</v>
      </c>
      <c r="Y38" s="2"/>
      <c r="Z38" s="7">
        <f t="shared" si="27"/>
        <v>3.7285942220576342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6">
        <v>59069.15</v>
      </c>
      <c r="E39" s="2"/>
      <c r="F39" s="7">
        <f t="shared" si="20"/>
        <v>3.6686667409271317E-2</v>
      </c>
      <c r="G39" s="2"/>
      <c r="H39" s="6">
        <v>5969.4</v>
      </c>
      <c r="I39" s="2"/>
      <c r="J39" s="7">
        <f t="shared" si="21"/>
        <v>3.9233439556881786E-2</v>
      </c>
      <c r="K39" s="2"/>
      <c r="L39" s="6">
        <f t="shared" si="22"/>
        <v>53099.75</v>
      </c>
      <c r="M39" s="2"/>
      <c r="N39" s="7">
        <f t="shared" si="23"/>
        <v>8.895324488223272</v>
      </c>
      <c r="O39" s="11"/>
      <c r="P39" s="6">
        <v>155188.47</v>
      </c>
      <c r="Q39" s="2"/>
      <c r="R39" s="7">
        <f t="shared" si="24"/>
        <v>4.3802616368856177E-2</v>
      </c>
      <c r="S39" s="2"/>
      <c r="T39" s="6">
        <v>43256.51</v>
      </c>
      <c r="U39" s="2"/>
      <c r="V39" s="7">
        <f t="shared" si="25"/>
        <v>9.7498838078915059E-2</v>
      </c>
      <c r="W39" s="2"/>
      <c r="X39" s="6">
        <f t="shared" si="26"/>
        <v>111931.95999999999</v>
      </c>
      <c r="Y39" s="2"/>
      <c r="Z39" s="7">
        <f t="shared" si="27"/>
        <v>2.5876327054586694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6">
        <v>13667.22</v>
      </c>
      <c r="E40" s="2"/>
      <c r="F40" s="7">
        <f t="shared" si="20"/>
        <v>8.4884369344969592E-3</v>
      </c>
      <c r="G40" s="2"/>
      <c r="H40" s="6">
        <v>3992.3</v>
      </c>
      <c r="I40" s="2"/>
      <c r="J40" s="7">
        <f t="shared" si="21"/>
        <v>2.6239096181013027E-2</v>
      </c>
      <c r="K40" s="2"/>
      <c r="L40" s="6">
        <f t="shared" si="22"/>
        <v>9674.9199999999983</v>
      </c>
      <c r="M40" s="2"/>
      <c r="N40" s="7">
        <f t="shared" si="23"/>
        <v>2.4233950354432277</v>
      </c>
      <c r="O40" s="11"/>
      <c r="P40" s="6">
        <v>18254.88</v>
      </c>
      <c r="Q40" s="2"/>
      <c r="R40" s="7">
        <f t="shared" si="24"/>
        <v>5.1525187760373264E-3</v>
      </c>
      <c r="S40" s="2"/>
      <c r="T40" s="6">
        <v>7694.96</v>
      </c>
      <c r="U40" s="2"/>
      <c r="V40" s="7">
        <f t="shared" si="25"/>
        <v>1.7344202272992625E-2</v>
      </c>
      <c r="W40" s="2"/>
      <c r="X40" s="6">
        <f t="shared" si="26"/>
        <v>10559.920000000002</v>
      </c>
      <c r="Y40" s="2"/>
      <c r="Z40" s="7">
        <f t="shared" si="27"/>
        <v>1.3723164252965581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45</v>
      </c>
      <c r="E41" s="1"/>
      <c r="F41" s="5">
        <f t="shared" ref="F41:F64" si="28">IF(D$12=0,0,D41/D$12)</f>
        <v>2.7948599792230108E-5</v>
      </c>
      <c r="G41" s="1"/>
      <c r="H41" s="1">
        <f>SUM(OSRRefH22_2x_0)</f>
        <v>0</v>
      </c>
      <c r="I41" s="1"/>
      <c r="J41" s="5">
        <f t="shared" ref="J41:J64" si="29">IF(H$12=0,0,H41/H$12)</f>
        <v>0</v>
      </c>
      <c r="K41" s="1"/>
      <c r="L41" s="1">
        <f t="shared" ref="L41:L64" si="30">+D41-H41</f>
        <v>45</v>
      </c>
      <c r="M41" s="1"/>
      <c r="N41" s="5">
        <f t="shared" ref="N41:N64" si="31">IF(H41=0,0,L41/H41)</f>
        <v>0</v>
      </c>
      <c r="O41" s="14"/>
      <c r="P41" s="1">
        <f>SUM(OSRRefP22_2x_0)</f>
        <v>2869.9</v>
      </c>
      <c r="Q41" s="1"/>
      <c r="R41" s="5">
        <f t="shared" ref="R41:R64" si="32">IF(P$12=0,0,P41/P$12)</f>
        <v>8.1004167846348608E-4</v>
      </c>
      <c r="S41" s="1"/>
      <c r="T41" s="1">
        <f>SUM(OSRRefT22_2x_0)</f>
        <v>1429</v>
      </c>
      <c r="U41" s="1"/>
      <c r="V41" s="5">
        <f t="shared" ref="V41:V64" si="33">IF(T$12=0,0,T41/T$12)</f>
        <v>3.2209218823887921E-3</v>
      </c>
      <c r="W41" s="1"/>
      <c r="X41" s="1">
        <f t="shared" ref="X41:X64" si="34">+P41-T41</f>
        <v>1440.9</v>
      </c>
      <c r="Y41" s="1"/>
      <c r="Z41" s="5">
        <f t="shared" ref="Z41:Z64" si="35">IF(T41=0,0,X41/T41)</f>
        <v>1.0083275017494753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>
        <v>45</v>
      </c>
      <c r="E42" s="2"/>
      <c r="F42" s="7">
        <f t="shared" si="28"/>
        <v>2.7948599792230108E-5</v>
      </c>
      <c r="G42" s="2"/>
      <c r="H42" s="6"/>
      <c r="I42" s="2"/>
      <c r="J42" s="7">
        <f t="shared" si="29"/>
        <v>0</v>
      </c>
      <c r="K42" s="2"/>
      <c r="L42" s="6">
        <f t="shared" si="30"/>
        <v>45</v>
      </c>
      <c r="M42" s="2"/>
      <c r="N42" s="7">
        <f t="shared" si="31"/>
        <v>0</v>
      </c>
      <c r="O42" s="11"/>
      <c r="P42" s="6">
        <v>2869.9</v>
      </c>
      <c r="Q42" s="2"/>
      <c r="R42" s="7">
        <f t="shared" si="32"/>
        <v>8.1004167846348608E-4</v>
      </c>
      <c r="S42" s="2"/>
      <c r="T42" s="6">
        <v>1429</v>
      </c>
      <c r="U42" s="2"/>
      <c r="V42" s="7">
        <f t="shared" si="33"/>
        <v>3.2209218823887921E-3</v>
      </c>
      <c r="W42" s="2"/>
      <c r="X42" s="6">
        <f t="shared" si="34"/>
        <v>1440.9</v>
      </c>
      <c r="Y42" s="2"/>
      <c r="Z42" s="7">
        <f t="shared" si="35"/>
        <v>1.0083275017494753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-16</v>
      </c>
      <c r="E43" s="1"/>
      <c r="F43" s="5">
        <f t="shared" si="28"/>
        <v>-9.9372799261262612E-6</v>
      </c>
      <c r="G43" s="1"/>
      <c r="H43" s="1">
        <f>SUM(OSRRefH22_3x_0)</f>
        <v>8</v>
      </c>
      <c r="I43" s="1"/>
      <c r="J43" s="5">
        <f t="shared" si="29"/>
        <v>5.2579407721890693E-5</v>
      </c>
      <c r="K43" s="1"/>
      <c r="L43" s="1">
        <f t="shared" si="30"/>
        <v>-24</v>
      </c>
      <c r="M43" s="1"/>
      <c r="N43" s="5">
        <f t="shared" si="31"/>
        <v>-3</v>
      </c>
      <c r="O43" s="14"/>
      <c r="P43" s="1">
        <f>SUM(OSRRefP22_3x_0)</f>
        <v>-15.9</v>
      </c>
      <c r="Q43" s="1"/>
      <c r="R43" s="5">
        <f t="shared" si="32"/>
        <v>-4.4878437184464364E-6</v>
      </c>
      <c r="S43" s="1"/>
      <c r="T43" s="1">
        <f>SUM(OSRRefT22_3x_0)</f>
        <v>69.739999999999995</v>
      </c>
      <c r="U43" s="1"/>
      <c r="V43" s="5">
        <f t="shared" si="33"/>
        <v>1.5719180691238234E-4</v>
      </c>
      <c r="W43" s="1"/>
      <c r="X43" s="1">
        <f t="shared" si="34"/>
        <v>-85.64</v>
      </c>
      <c r="Y43" s="1"/>
      <c r="Z43" s="5">
        <f t="shared" si="35"/>
        <v>-1.2279896759392028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6">
        <v>-16</v>
      </c>
      <c r="E44" s="2"/>
      <c r="F44" s="7">
        <f t="shared" si="28"/>
        <v>-9.9372799261262612E-6</v>
      </c>
      <c r="G44" s="2"/>
      <c r="H44" s="6">
        <v>8</v>
      </c>
      <c r="I44" s="2"/>
      <c r="J44" s="7">
        <f t="shared" si="29"/>
        <v>5.2579407721890693E-5</v>
      </c>
      <c r="K44" s="2"/>
      <c r="L44" s="6">
        <f t="shared" si="30"/>
        <v>-24</v>
      </c>
      <c r="M44" s="2"/>
      <c r="N44" s="7">
        <f t="shared" si="31"/>
        <v>-3</v>
      </c>
      <c r="O44" s="11"/>
      <c r="P44" s="6">
        <v>-15.9</v>
      </c>
      <c r="Q44" s="2"/>
      <c r="R44" s="7">
        <f t="shared" si="32"/>
        <v>-4.4878437184464364E-6</v>
      </c>
      <c r="S44" s="2"/>
      <c r="T44" s="6">
        <v>69.739999999999995</v>
      </c>
      <c r="U44" s="2"/>
      <c r="V44" s="7">
        <f t="shared" si="33"/>
        <v>1.5719180691238234E-4</v>
      </c>
      <c r="W44" s="2"/>
      <c r="X44" s="6">
        <f t="shared" si="34"/>
        <v>-85.64</v>
      </c>
      <c r="Y44" s="2"/>
      <c r="Z44" s="7">
        <f t="shared" si="35"/>
        <v>-1.2279896759392028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154.16</v>
      </c>
      <c r="E45" s="1"/>
      <c r="F45" s="5">
        <f t="shared" si="28"/>
        <v>9.5745692088226517E-5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154.16</v>
      </c>
      <c r="M45" s="1"/>
      <c r="N45" s="5">
        <f t="shared" si="31"/>
        <v>0</v>
      </c>
      <c r="O45" s="14"/>
      <c r="P45" s="1">
        <f>SUM(OSRRefP22_4x_0)</f>
        <v>515.32000000000005</v>
      </c>
      <c r="Q45" s="1"/>
      <c r="R45" s="5">
        <f t="shared" si="32"/>
        <v>1.4545129716917094E-4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515.32000000000005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6">
        <v>154.16</v>
      </c>
      <c r="E46" s="2"/>
      <c r="F46" s="7">
        <f t="shared" si="28"/>
        <v>9.5745692088226517E-5</v>
      </c>
      <c r="G46" s="2"/>
      <c r="H46" s="6"/>
      <c r="I46" s="2"/>
      <c r="J46" s="7">
        <f t="shared" si="29"/>
        <v>0</v>
      </c>
      <c r="K46" s="2"/>
      <c r="L46" s="6">
        <f t="shared" si="30"/>
        <v>154.16</v>
      </c>
      <c r="M46" s="2"/>
      <c r="N46" s="7">
        <f t="shared" si="31"/>
        <v>0</v>
      </c>
      <c r="O46" s="11"/>
      <c r="P46" s="6">
        <v>515.32000000000005</v>
      </c>
      <c r="Q46" s="2"/>
      <c r="R46" s="7">
        <f t="shared" si="32"/>
        <v>1.4545129716917094E-4</v>
      </c>
      <c r="S46" s="2"/>
      <c r="T46" s="6"/>
      <c r="U46" s="2"/>
      <c r="V46" s="7">
        <f t="shared" si="33"/>
        <v>0</v>
      </c>
      <c r="W46" s="2"/>
      <c r="X46" s="6">
        <f t="shared" si="34"/>
        <v>515.32000000000005</v>
      </c>
      <c r="Y46" s="2"/>
      <c r="Z46" s="7">
        <f t="shared" si="35"/>
        <v>0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760.04</v>
      </c>
      <c r="E47" s="1"/>
      <c r="F47" s="5">
        <f t="shared" si="28"/>
        <v>4.7204563969081267E-4</v>
      </c>
      <c r="G47" s="1"/>
      <c r="H47" s="1">
        <f>SUM(OSRRefH22_5x_0)</f>
        <v>758.5</v>
      </c>
      <c r="I47" s="1"/>
      <c r="J47" s="5">
        <f t="shared" si="29"/>
        <v>4.9851850946317612E-3</v>
      </c>
      <c r="K47" s="1"/>
      <c r="L47" s="1">
        <f t="shared" si="30"/>
        <v>1.5399999999999636</v>
      </c>
      <c r="M47" s="1"/>
      <c r="N47" s="5">
        <f t="shared" si="31"/>
        <v>2.0303230059327141E-3</v>
      </c>
      <c r="O47" s="14"/>
      <c r="P47" s="1">
        <f>SUM(OSRRefP22_5x_0)</f>
        <v>3040.16</v>
      </c>
      <c r="Q47" s="1"/>
      <c r="R47" s="5">
        <f t="shared" si="32"/>
        <v>8.5809829931271183E-4</v>
      </c>
      <c r="S47" s="1"/>
      <c r="T47" s="1">
        <f>SUM(OSRRefT22_5x_0)</f>
        <v>2505.56</v>
      </c>
      <c r="U47" s="1"/>
      <c r="V47" s="5">
        <f t="shared" si="33"/>
        <v>5.6474548856809388E-3</v>
      </c>
      <c r="W47" s="1"/>
      <c r="X47" s="1">
        <f t="shared" si="34"/>
        <v>534.59999999999991</v>
      </c>
      <c r="Y47" s="1"/>
      <c r="Z47" s="5">
        <f t="shared" si="35"/>
        <v>0.21336547518319254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760.04</v>
      </c>
      <c r="E48" s="2"/>
      <c r="F48" s="7">
        <f t="shared" si="28"/>
        <v>4.7204563969081267E-4</v>
      </c>
      <c r="G48" s="2"/>
      <c r="H48" s="6">
        <v>758.5</v>
      </c>
      <c r="I48" s="2"/>
      <c r="J48" s="7">
        <f t="shared" si="29"/>
        <v>4.9851850946317612E-3</v>
      </c>
      <c r="K48" s="2"/>
      <c r="L48" s="6">
        <f t="shared" si="30"/>
        <v>1.5399999999999636</v>
      </c>
      <c r="M48" s="2"/>
      <c r="N48" s="7">
        <f t="shared" si="31"/>
        <v>2.0303230059327141E-3</v>
      </c>
      <c r="O48" s="11"/>
      <c r="P48" s="6">
        <v>3040.16</v>
      </c>
      <c r="Q48" s="2"/>
      <c r="R48" s="7">
        <f t="shared" si="32"/>
        <v>8.5809829931271183E-4</v>
      </c>
      <c r="S48" s="2"/>
      <c r="T48" s="6">
        <v>2505.56</v>
      </c>
      <c r="U48" s="2"/>
      <c r="V48" s="7">
        <f t="shared" si="33"/>
        <v>5.6474548856809388E-3</v>
      </c>
      <c r="W48" s="2"/>
      <c r="X48" s="6">
        <f t="shared" si="34"/>
        <v>534.59999999999991</v>
      </c>
      <c r="Y48" s="2"/>
      <c r="Z48" s="7">
        <f t="shared" si="35"/>
        <v>0.21336547518319254</v>
      </c>
    </row>
    <row r="49" spans="1:26" s="28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10498.56</v>
      </c>
      <c r="E49" s="1"/>
      <c r="F49" s="5">
        <f t="shared" si="28"/>
        <v>6.5204455963270066E-3</v>
      </c>
      <c r="G49" s="1"/>
      <c r="H49" s="1">
        <f>SUM(OSRRefH22_6x_0)</f>
        <v>11110.09</v>
      </c>
      <c r="I49" s="1"/>
      <c r="J49" s="5">
        <f t="shared" si="29"/>
        <v>7.3020243992112571E-2</v>
      </c>
      <c r="K49" s="1"/>
      <c r="L49" s="1">
        <f t="shared" si="30"/>
        <v>-611.53000000000065</v>
      </c>
      <c r="M49" s="1"/>
      <c r="N49" s="5">
        <f t="shared" si="31"/>
        <v>-5.5042758429499732E-2</v>
      </c>
      <c r="O49" s="14"/>
      <c r="P49" s="1">
        <f>SUM(OSRRefP22_6x_0)</f>
        <v>24413.74</v>
      </c>
      <c r="Q49" s="1"/>
      <c r="R49" s="5">
        <f t="shared" si="32"/>
        <v>6.890883629105944E-3</v>
      </c>
      <c r="S49" s="1"/>
      <c r="T49" s="1">
        <f>SUM(OSRRefT22_6x_0)</f>
        <v>22220.18</v>
      </c>
      <c r="U49" s="1"/>
      <c r="V49" s="5">
        <f t="shared" si="33"/>
        <v>5.0083599714917978E-2</v>
      </c>
      <c r="W49" s="1"/>
      <c r="X49" s="1">
        <f t="shared" si="34"/>
        <v>2193.5600000000013</v>
      </c>
      <c r="Y49" s="1"/>
      <c r="Z49" s="5">
        <f t="shared" si="35"/>
        <v>9.8719272301124525E-2</v>
      </c>
    </row>
    <row r="50" spans="1:26" s="24" customFormat="1" hidden="1" outlineLevel="2" x14ac:dyDescent="0.25">
      <c r="A50" s="29"/>
      <c r="B50" s="11" t="str">
        <f>CONCATENATE("          ", "6399", " - ", "DONATION-ON CAMPUS")</f>
        <v xml:space="preserve">          6399 - DONATION-ON CAMPUS</v>
      </c>
      <c r="C50" s="11"/>
      <c r="D50" s="6">
        <v>10498.56</v>
      </c>
      <c r="E50" s="2"/>
      <c r="F50" s="7">
        <f t="shared" si="28"/>
        <v>6.5204455963270066E-3</v>
      </c>
      <c r="G50" s="2"/>
      <c r="H50" s="6">
        <v>11110.09</v>
      </c>
      <c r="I50" s="2"/>
      <c r="J50" s="7">
        <f t="shared" si="29"/>
        <v>7.3020243992112571E-2</v>
      </c>
      <c r="K50" s="2"/>
      <c r="L50" s="6">
        <f t="shared" si="30"/>
        <v>-611.53000000000065</v>
      </c>
      <c r="M50" s="2"/>
      <c r="N50" s="7">
        <f t="shared" si="31"/>
        <v>-5.5042758429499732E-2</v>
      </c>
      <c r="O50" s="11"/>
      <c r="P50" s="6">
        <v>24413.74</v>
      </c>
      <c r="Q50" s="2"/>
      <c r="R50" s="7">
        <f t="shared" si="32"/>
        <v>6.890883629105944E-3</v>
      </c>
      <c r="S50" s="2"/>
      <c r="T50" s="6">
        <v>22220.18</v>
      </c>
      <c r="U50" s="2"/>
      <c r="V50" s="7">
        <f t="shared" si="33"/>
        <v>5.0083599714917978E-2</v>
      </c>
      <c r="W50" s="2"/>
      <c r="X50" s="6">
        <f t="shared" si="34"/>
        <v>2193.5600000000013</v>
      </c>
      <c r="Y50" s="2"/>
      <c r="Z50" s="7">
        <f t="shared" si="35"/>
        <v>9.8719272301124525E-2</v>
      </c>
    </row>
    <row r="51" spans="1:26" s="28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4"/>
      <c r="P51" s="1">
        <f>SUM(OSRRefP22_7x_0)</f>
        <v>14.49</v>
      </c>
      <c r="Q51" s="1"/>
      <c r="R51" s="5">
        <f t="shared" si="32"/>
        <v>4.0898651245464698E-6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14.49</v>
      </c>
      <c r="Y51" s="1"/>
      <c r="Z51" s="5">
        <f t="shared" si="35"/>
        <v>0</v>
      </c>
    </row>
    <row r="52" spans="1:26" s="24" customFormat="1" hidden="1" outlineLevel="2" x14ac:dyDescent="0.25">
      <c r="A52" s="29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14.49</v>
      </c>
      <c r="Q52" s="2"/>
      <c r="R52" s="7">
        <f t="shared" si="32"/>
        <v>4.0898651245464698E-6</v>
      </c>
      <c r="S52" s="2"/>
      <c r="T52" s="6"/>
      <c r="U52" s="2"/>
      <c r="V52" s="7">
        <f t="shared" si="33"/>
        <v>0</v>
      </c>
      <c r="W52" s="2"/>
      <c r="X52" s="6">
        <f t="shared" si="34"/>
        <v>14.49</v>
      </c>
      <c r="Y52" s="2"/>
      <c r="Z52" s="7">
        <f t="shared" si="35"/>
        <v>0</v>
      </c>
    </row>
    <row r="53" spans="1:26" s="28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1589.46</v>
      </c>
      <c r="E53" s="1"/>
      <c r="F53" s="5">
        <f t="shared" si="28"/>
        <v>9.8718180946129048E-4</v>
      </c>
      <c r="G53" s="1"/>
      <c r="H53" s="1">
        <f>SUM(OSRRefH22_8x_0)</f>
        <v>613.79</v>
      </c>
      <c r="I53" s="1"/>
      <c r="J53" s="5">
        <f t="shared" si="29"/>
        <v>4.0340893332024112E-3</v>
      </c>
      <c r="K53" s="1"/>
      <c r="L53" s="1">
        <f t="shared" si="30"/>
        <v>975.67000000000007</v>
      </c>
      <c r="M53" s="1"/>
      <c r="N53" s="5">
        <f t="shared" si="31"/>
        <v>1.5895827563173075</v>
      </c>
      <c r="O53" s="14"/>
      <c r="P53" s="1">
        <f>SUM(OSRRefP22_8x_0)</f>
        <v>6799.79</v>
      </c>
      <c r="Q53" s="1"/>
      <c r="R53" s="5">
        <f t="shared" si="32"/>
        <v>1.9192701156135153E-3</v>
      </c>
      <c r="S53" s="1"/>
      <c r="T53" s="1">
        <f>SUM(OSRRefT22_8x_0)</f>
        <v>2272.4699999999998</v>
      </c>
      <c r="U53" s="1"/>
      <c r="V53" s="5">
        <f t="shared" si="33"/>
        <v>5.122077221883875E-3</v>
      </c>
      <c r="W53" s="1"/>
      <c r="X53" s="1">
        <f t="shared" si="34"/>
        <v>4527.32</v>
      </c>
      <c r="Y53" s="1"/>
      <c r="Z53" s="5">
        <f t="shared" si="35"/>
        <v>1.9922463222836826</v>
      </c>
    </row>
    <row r="54" spans="1:26" s="24" customFormat="1" hidden="1" outlineLevel="2" x14ac:dyDescent="0.25">
      <c r="A54" s="29"/>
      <c r="B54" s="11" t="str">
        <f>CONCATENATE("          ", "6351", " - ", "EQUIPMENT RENTAL")</f>
        <v xml:space="preserve">          6351 - EQUIPMENT RENTAL</v>
      </c>
      <c r="C54" s="11"/>
      <c r="D54" s="6">
        <v>1589.46</v>
      </c>
      <c r="E54" s="2"/>
      <c r="F54" s="7">
        <f t="shared" si="28"/>
        <v>9.8718180946129048E-4</v>
      </c>
      <c r="G54" s="2"/>
      <c r="H54" s="6">
        <v>613.79</v>
      </c>
      <c r="I54" s="2"/>
      <c r="J54" s="7">
        <f t="shared" si="29"/>
        <v>4.0340893332024112E-3</v>
      </c>
      <c r="K54" s="2"/>
      <c r="L54" s="6">
        <f t="shared" si="30"/>
        <v>975.67000000000007</v>
      </c>
      <c r="M54" s="2"/>
      <c r="N54" s="7">
        <f t="shared" si="31"/>
        <v>1.5895827563173075</v>
      </c>
      <c r="O54" s="11"/>
      <c r="P54" s="6">
        <v>6799.79</v>
      </c>
      <c r="Q54" s="2"/>
      <c r="R54" s="7">
        <f t="shared" si="32"/>
        <v>1.9192701156135153E-3</v>
      </c>
      <c r="S54" s="2"/>
      <c r="T54" s="6">
        <v>2272.4699999999998</v>
      </c>
      <c r="U54" s="2"/>
      <c r="V54" s="7">
        <f t="shared" si="33"/>
        <v>5.122077221883875E-3</v>
      </c>
      <c r="W54" s="2"/>
      <c r="X54" s="6">
        <f t="shared" si="34"/>
        <v>4527.32</v>
      </c>
      <c r="Y54" s="2"/>
      <c r="Z54" s="7">
        <f t="shared" si="35"/>
        <v>1.9922463222836826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297.61</v>
      </c>
      <c r="E55" s="1"/>
      <c r="F55" s="5">
        <f t="shared" si="28"/>
        <v>1.848396174259023E-4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297.61</v>
      </c>
      <c r="M55" s="1"/>
      <c r="N55" s="5">
        <f t="shared" si="31"/>
        <v>0</v>
      </c>
      <c r="O55" s="14"/>
      <c r="P55" s="1">
        <f>SUM(OSRRefP22_9x_0)</f>
        <v>11172.71</v>
      </c>
      <c r="Q55" s="1"/>
      <c r="R55" s="5">
        <f t="shared" si="32"/>
        <v>3.1535456850014893E-3</v>
      </c>
      <c r="S55" s="1"/>
      <c r="T55" s="1">
        <f>SUM(OSRRefT22_9x_0)</f>
        <v>6380.95</v>
      </c>
      <c r="U55" s="1"/>
      <c r="V55" s="5">
        <f t="shared" si="33"/>
        <v>1.4382464300509981E-2</v>
      </c>
      <c r="W55" s="1"/>
      <c r="X55" s="1">
        <f t="shared" si="34"/>
        <v>4791.7599999999993</v>
      </c>
      <c r="Y55" s="1"/>
      <c r="Z55" s="5">
        <f t="shared" si="35"/>
        <v>0.75094774289094879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6">
        <v>297.61</v>
      </c>
      <c r="E56" s="2"/>
      <c r="F56" s="7">
        <f t="shared" si="28"/>
        <v>1.848396174259023E-4</v>
      </c>
      <c r="G56" s="2"/>
      <c r="H56" s="6"/>
      <c r="I56" s="2"/>
      <c r="J56" s="7">
        <f t="shared" si="29"/>
        <v>0</v>
      </c>
      <c r="K56" s="2"/>
      <c r="L56" s="6">
        <f t="shared" si="30"/>
        <v>297.61</v>
      </c>
      <c r="M56" s="2"/>
      <c r="N56" s="7">
        <f t="shared" si="31"/>
        <v>0</v>
      </c>
      <c r="O56" s="11"/>
      <c r="P56" s="6">
        <v>11172.71</v>
      </c>
      <c r="Q56" s="2"/>
      <c r="R56" s="7">
        <f t="shared" si="32"/>
        <v>3.1535456850014893E-3</v>
      </c>
      <c r="S56" s="2"/>
      <c r="T56" s="6">
        <v>6380.95</v>
      </c>
      <c r="U56" s="2"/>
      <c r="V56" s="7">
        <f t="shared" si="33"/>
        <v>1.4382464300509981E-2</v>
      </c>
      <c r="W56" s="2"/>
      <c r="X56" s="6">
        <f t="shared" si="34"/>
        <v>4791.7599999999993</v>
      </c>
      <c r="Y56" s="2"/>
      <c r="Z56" s="7">
        <f t="shared" si="35"/>
        <v>0.75094774289094879</v>
      </c>
    </row>
    <row r="57" spans="1:26" s="28" customFormat="1" outlineLevel="1" collapsed="1" x14ac:dyDescent="0.25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5.21</v>
      </c>
      <c r="E57" s="1"/>
      <c r="F57" s="5">
        <f t="shared" si="28"/>
        <v>3.2358267759448638E-6</v>
      </c>
      <c r="G57" s="1"/>
      <c r="H57" s="1">
        <f>SUM(OSRRefH22_10x_0)</f>
        <v>5.9</v>
      </c>
      <c r="I57" s="1"/>
      <c r="J57" s="5">
        <f t="shared" si="29"/>
        <v>3.8777313194894388E-5</v>
      </c>
      <c r="K57" s="1"/>
      <c r="L57" s="1">
        <f t="shared" si="30"/>
        <v>-0.69000000000000039</v>
      </c>
      <c r="M57" s="1"/>
      <c r="N57" s="5">
        <f t="shared" si="31"/>
        <v>-0.11694915254237294</v>
      </c>
      <c r="O57" s="14"/>
      <c r="P57" s="1">
        <f>SUM(OSRRefP22_10x_0)</f>
        <v>20.85</v>
      </c>
      <c r="Q57" s="1"/>
      <c r="R57" s="5">
        <f t="shared" si="32"/>
        <v>5.8850026119250445E-6</v>
      </c>
      <c r="S57" s="1"/>
      <c r="T57" s="1">
        <f>SUM(OSRRefT22_10x_0)</f>
        <v>23.6</v>
      </c>
      <c r="U57" s="1"/>
      <c r="V57" s="5">
        <f t="shared" si="33"/>
        <v>5.3193671395644156E-5</v>
      </c>
      <c r="W57" s="1"/>
      <c r="X57" s="1">
        <f t="shared" si="34"/>
        <v>-2.75</v>
      </c>
      <c r="Y57" s="1"/>
      <c r="Z57" s="5">
        <f t="shared" si="35"/>
        <v>-0.11652542372881355</v>
      </c>
    </row>
    <row r="58" spans="1:26" s="24" customFormat="1" hidden="1" outlineLevel="2" x14ac:dyDescent="0.25">
      <c r="A58" s="29"/>
      <c r="B58" s="11" t="str">
        <f>CONCATENATE("          ", "6314", " - ", "LIABILITY INSURANCE")</f>
        <v xml:space="preserve">          6314 - LIABILITY INSURANCE</v>
      </c>
      <c r="C58" s="11"/>
      <c r="D58" s="6">
        <v>5.21</v>
      </c>
      <c r="E58" s="2"/>
      <c r="F58" s="7">
        <f t="shared" si="28"/>
        <v>3.2358267759448638E-6</v>
      </c>
      <c r="G58" s="2"/>
      <c r="H58" s="6">
        <v>5.9</v>
      </c>
      <c r="I58" s="2"/>
      <c r="J58" s="7">
        <f t="shared" si="29"/>
        <v>3.8777313194894388E-5</v>
      </c>
      <c r="K58" s="2"/>
      <c r="L58" s="6">
        <f t="shared" si="30"/>
        <v>-0.69000000000000039</v>
      </c>
      <c r="M58" s="2"/>
      <c r="N58" s="7">
        <f t="shared" si="31"/>
        <v>-0.11694915254237294</v>
      </c>
      <c r="O58" s="11"/>
      <c r="P58" s="6">
        <v>20.85</v>
      </c>
      <c r="Q58" s="2"/>
      <c r="R58" s="7">
        <f t="shared" si="32"/>
        <v>5.8850026119250445E-6</v>
      </c>
      <c r="S58" s="2"/>
      <c r="T58" s="6">
        <v>23.6</v>
      </c>
      <c r="U58" s="2"/>
      <c r="V58" s="7">
        <f t="shared" si="33"/>
        <v>5.3193671395644156E-5</v>
      </c>
      <c r="W58" s="2"/>
      <c r="X58" s="6">
        <f t="shared" si="34"/>
        <v>-2.75</v>
      </c>
      <c r="Y58" s="2"/>
      <c r="Z58" s="7">
        <f t="shared" si="35"/>
        <v>-0.11652542372881355</v>
      </c>
    </row>
    <row r="59" spans="1:26" s="28" customFormat="1" outlineLevel="1" collapsed="1" x14ac:dyDescent="0.25">
      <c r="A59" s="27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127967.99</v>
      </c>
      <c r="E59" s="1"/>
      <c r="F59" s="5">
        <f t="shared" si="28"/>
        <v>7.9478358638357879E-2</v>
      </c>
      <c r="G59" s="1"/>
      <c r="H59" s="1">
        <f>SUM(OSRRefH22_11x_0)</f>
        <v>12242.68</v>
      </c>
      <c r="I59" s="1"/>
      <c r="J59" s="5">
        <f t="shared" si="29"/>
        <v>8.0464107916079594E-2</v>
      </c>
      <c r="K59" s="1"/>
      <c r="L59" s="1">
        <f t="shared" si="30"/>
        <v>115725.31</v>
      </c>
      <c r="M59" s="1"/>
      <c r="N59" s="5">
        <f t="shared" si="31"/>
        <v>9.4526124998774765</v>
      </c>
      <c r="O59" s="14"/>
      <c r="P59" s="1">
        <f>SUM(OSRRefP22_11x_0)</f>
        <v>270770.98</v>
      </c>
      <c r="Q59" s="1"/>
      <c r="R59" s="5">
        <f t="shared" si="32"/>
        <v>7.6426279354124882E-2</v>
      </c>
      <c r="S59" s="1"/>
      <c r="T59" s="1">
        <f>SUM(OSRRefT22_11x_0)</f>
        <v>28720.2</v>
      </c>
      <c r="U59" s="1"/>
      <c r="V59" s="5">
        <f t="shared" si="33"/>
        <v>6.4734444119372E-2</v>
      </c>
      <c r="W59" s="1"/>
      <c r="X59" s="1">
        <f t="shared" si="34"/>
        <v>242050.77999999997</v>
      </c>
      <c r="Y59" s="1"/>
      <c r="Z59" s="5">
        <f t="shared" si="35"/>
        <v>8.4278932597962388</v>
      </c>
    </row>
    <row r="60" spans="1:26" s="24" customFormat="1" hidden="1" outlineLevel="2" x14ac:dyDescent="0.25">
      <c r="A60" s="29"/>
      <c r="B60" s="11" t="str">
        <f>CONCATENATE("          ", "6387", " - ", "COMMISSION DUE HOUSING")</f>
        <v xml:space="preserve">          6387 - COMMISSION DUE HOUSING</v>
      </c>
      <c r="C60" s="11"/>
      <c r="D60" s="6">
        <v>127967.99</v>
      </c>
      <c r="E60" s="2"/>
      <c r="F60" s="7">
        <f t="shared" si="28"/>
        <v>7.9478358638357879E-2</v>
      </c>
      <c r="G60" s="2"/>
      <c r="H60" s="6">
        <v>12242.68</v>
      </c>
      <c r="I60" s="2"/>
      <c r="J60" s="7">
        <f t="shared" si="29"/>
        <v>8.0464107916079594E-2</v>
      </c>
      <c r="K60" s="2"/>
      <c r="L60" s="6">
        <f t="shared" si="30"/>
        <v>115725.31</v>
      </c>
      <c r="M60" s="2"/>
      <c r="N60" s="7">
        <f t="shared" si="31"/>
        <v>9.4526124998774765</v>
      </c>
      <c r="O60" s="11"/>
      <c r="P60" s="6">
        <v>270770.98</v>
      </c>
      <c r="Q60" s="2"/>
      <c r="R60" s="7">
        <f t="shared" si="32"/>
        <v>7.6426279354124882E-2</v>
      </c>
      <c r="S60" s="2"/>
      <c r="T60" s="6">
        <v>28720.2</v>
      </c>
      <c r="U60" s="2"/>
      <c r="V60" s="7">
        <f t="shared" si="33"/>
        <v>6.4734444119372E-2</v>
      </c>
      <c r="W60" s="2"/>
      <c r="X60" s="6">
        <f t="shared" si="34"/>
        <v>242050.77999999997</v>
      </c>
      <c r="Y60" s="2"/>
      <c r="Z60" s="7">
        <f t="shared" si="35"/>
        <v>8.4278932597962388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6998.3099999999995</v>
      </c>
      <c r="E61" s="1"/>
      <c r="F61" s="5">
        <f t="shared" si="28"/>
        <v>4.3465103424880419E-3</v>
      </c>
      <c r="G61" s="1"/>
      <c r="H61" s="1">
        <f>SUM(OSRRefH22_12x_0)</f>
        <v>414.44</v>
      </c>
      <c r="I61" s="1"/>
      <c r="J61" s="5">
        <f t="shared" si="29"/>
        <v>2.7238762170325474E-3</v>
      </c>
      <c r="K61" s="1"/>
      <c r="L61" s="1">
        <f t="shared" si="30"/>
        <v>6583.87</v>
      </c>
      <c r="M61" s="1"/>
      <c r="N61" s="5">
        <f t="shared" si="31"/>
        <v>15.886183766045749</v>
      </c>
      <c r="O61" s="14"/>
      <c r="P61" s="1">
        <f>SUM(OSRRefP22_12x_0)</f>
        <v>18437.13</v>
      </c>
      <c r="Q61" s="1"/>
      <c r="R61" s="5">
        <f t="shared" si="32"/>
        <v>5.203959626206311E-3</v>
      </c>
      <c r="S61" s="1"/>
      <c r="T61" s="1">
        <f>SUM(OSRRefT22_12x_0)</f>
        <v>3327.92</v>
      </c>
      <c r="U61" s="1"/>
      <c r="V61" s="5">
        <f t="shared" si="33"/>
        <v>7.5010289369064446E-3</v>
      </c>
      <c r="W61" s="1"/>
      <c r="X61" s="1">
        <f t="shared" si="34"/>
        <v>15109.210000000001</v>
      </c>
      <c r="Y61" s="1"/>
      <c r="Z61" s="5">
        <f t="shared" si="35"/>
        <v>4.5401361811582008</v>
      </c>
    </row>
    <row r="62" spans="1:26" s="24" customFormat="1" hidden="1" outlineLevel="2" x14ac:dyDescent="0.25">
      <c r="A62" s="29"/>
      <c r="B62" s="11" t="str">
        <f>CONCATENATE("          ", "6371", " - ", "COMPUTER SOFTWARE MAINTENANCE")</f>
        <v xml:space="preserve">          6371 - COMPUTER SOFTWARE MAINTENANCE</v>
      </c>
      <c r="C62" s="11"/>
      <c r="D62" s="6">
        <v>3500</v>
      </c>
      <c r="E62" s="2"/>
      <c r="F62" s="7">
        <f t="shared" si="28"/>
        <v>2.1737799838401194E-3</v>
      </c>
      <c r="G62" s="2"/>
      <c r="H62" s="6"/>
      <c r="I62" s="2"/>
      <c r="J62" s="7">
        <f t="shared" si="29"/>
        <v>0</v>
      </c>
      <c r="K62" s="2"/>
      <c r="L62" s="6">
        <f t="shared" si="30"/>
        <v>3500</v>
      </c>
      <c r="M62" s="2"/>
      <c r="N62" s="7">
        <f t="shared" si="31"/>
        <v>0</v>
      </c>
      <c r="O62" s="11"/>
      <c r="P62" s="6">
        <v>14000</v>
      </c>
      <c r="Q62" s="2"/>
      <c r="R62" s="7">
        <f t="shared" si="32"/>
        <v>3.9515605068081829E-3</v>
      </c>
      <c r="S62" s="2"/>
      <c r="T62" s="6"/>
      <c r="U62" s="2"/>
      <c r="V62" s="7">
        <f t="shared" si="33"/>
        <v>0</v>
      </c>
      <c r="W62" s="2"/>
      <c r="X62" s="6">
        <f t="shared" si="34"/>
        <v>14000</v>
      </c>
      <c r="Y62" s="2"/>
      <c r="Z62" s="7">
        <f t="shared" si="35"/>
        <v>0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6">
        <v>57.15</v>
      </c>
      <c r="E63" s="2"/>
      <c r="F63" s="7">
        <f t="shared" si="28"/>
        <v>3.549472173613224E-5</v>
      </c>
      <c r="G63" s="2"/>
      <c r="H63" s="6">
        <v>17.82</v>
      </c>
      <c r="I63" s="2"/>
      <c r="J63" s="7">
        <f t="shared" si="29"/>
        <v>1.1712063070051153E-4</v>
      </c>
      <c r="K63" s="2"/>
      <c r="L63" s="6">
        <f t="shared" si="30"/>
        <v>39.33</v>
      </c>
      <c r="M63" s="2"/>
      <c r="N63" s="7">
        <f t="shared" si="31"/>
        <v>2.2070707070707067</v>
      </c>
      <c r="O63" s="11"/>
      <c r="P63" s="6">
        <v>310.67</v>
      </c>
      <c r="Q63" s="2"/>
      <c r="R63" s="7">
        <f t="shared" si="32"/>
        <v>8.7687950189292729E-5</v>
      </c>
      <c r="S63" s="2"/>
      <c r="T63" s="6">
        <v>2726.3</v>
      </c>
      <c r="U63" s="2"/>
      <c r="V63" s="7">
        <f t="shared" si="33"/>
        <v>6.1449960307603671E-3</v>
      </c>
      <c r="W63" s="2"/>
      <c r="X63" s="6">
        <f t="shared" si="34"/>
        <v>-2415.63</v>
      </c>
      <c r="Y63" s="2"/>
      <c r="Z63" s="7">
        <f t="shared" si="35"/>
        <v>-0.88604702343835962</v>
      </c>
    </row>
    <row r="64" spans="1:26" s="24" customFormat="1" hidden="1" outlineLevel="2" x14ac:dyDescent="0.25">
      <c r="A64" s="29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3441.16</v>
      </c>
      <c r="E64" s="2"/>
      <c r="F64" s="7">
        <f t="shared" si="28"/>
        <v>2.1372356369117902E-3</v>
      </c>
      <c r="G64" s="2"/>
      <c r="H64" s="6">
        <v>396.62</v>
      </c>
      <c r="I64" s="2"/>
      <c r="J64" s="7">
        <f t="shared" si="29"/>
        <v>2.606755586332036E-3</v>
      </c>
      <c r="K64" s="2"/>
      <c r="L64" s="6">
        <f t="shared" si="30"/>
        <v>3044.54</v>
      </c>
      <c r="M64" s="2"/>
      <c r="N64" s="7">
        <f t="shared" si="31"/>
        <v>7.6762140083707324</v>
      </c>
      <c r="O64" s="11"/>
      <c r="P64" s="6">
        <v>4126.46</v>
      </c>
      <c r="Q64" s="2"/>
      <c r="R64" s="7">
        <f t="shared" si="32"/>
        <v>1.1647111692088354E-3</v>
      </c>
      <c r="S64" s="2"/>
      <c r="T64" s="6">
        <v>601.62</v>
      </c>
      <c r="U64" s="2"/>
      <c r="V64" s="7">
        <f t="shared" si="33"/>
        <v>1.3560329061460777E-3</v>
      </c>
      <c r="W64" s="2"/>
      <c r="X64" s="6">
        <f t="shared" si="34"/>
        <v>3524.84</v>
      </c>
      <c r="Y64" s="2"/>
      <c r="Z64" s="7">
        <f t="shared" si="35"/>
        <v>5.8589142648183241</v>
      </c>
    </row>
    <row r="65" spans="1:26" s="28" customFormat="1" outlineLevel="1" collapsed="1" x14ac:dyDescent="0.25">
      <c r="A65" s="27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SUM(OSRRefD22_13x_0)</f>
        <v>23044.839999999997</v>
      </c>
      <c r="E65" s="1"/>
      <c r="F65" s="5">
        <f t="shared" ref="F65:F68" si="36">IF(D$12=0,0,D65/D$12)</f>
        <v>1.4312689120799466E-2</v>
      </c>
      <c r="G65" s="1"/>
      <c r="H65" s="1">
        <f>SUM(OSRRefH22_13x_0)</f>
        <v>11898.099999999999</v>
      </c>
      <c r="I65" s="1"/>
      <c r="J65" s="5">
        <f t="shared" ref="J65:J68" si="37">IF(H$12=0,0,H65/H$12)</f>
        <v>7.8199381376978447E-2</v>
      </c>
      <c r="K65" s="1"/>
      <c r="L65" s="1">
        <f t="shared" ref="L65:L68" si="38">+D65-H65</f>
        <v>11146.739999999998</v>
      </c>
      <c r="M65" s="1"/>
      <c r="N65" s="5">
        <f t="shared" ref="N65:N68" si="39">IF(H65=0,0,L65/H65)</f>
        <v>0.93685042149586906</v>
      </c>
      <c r="O65" s="14"/>
      <c r="P65" s="1">
        <f>SUM(OSRRefP22_13x_0)</f>
        <v>63023.4</v>
      </c>
      <c r="Q65" s="1"/>
      <c r="R65" s="5">
        <f t="shared" ref="R65:R68" si="40">IF(P$12=0,0,P65/P$12)</f>
        <v>1.7788627031769633E-2</v>
      </c>
      <c r="S65" s="1"/>
      <c r="T65" s="1">
        <f>SUM(OSRRefT22_13x_0)</f>
        <v>43664.350000000006</v>
      </c>
      <c r="U65" s="1"/>
      <c r="V65" s="5">
        <f t="shared" ref="V65:V68" si="41">IF(T$12=0,0,T65/T$12)</f>
        <v>9.8418096847643854E-2</v>
      </c>
      <c r="W65" s="1"/>
      <c r="X65" s="1">
        <f t="shared" ref="X65:X68" si="42">+P65-T65</f>
        <v>19359.049999999996</v>
      </c>
      <c r="Y65" s="1"/>
      <c r="Z65" s="5">
        <f t="shared" ref="Z65:Z68" si="43">IF(T65=0,0,X65/T65)</f>
        <v>0.44336054470065378</v>
      </c>
    </row>
    <row r="66" spans="1:26" s="24" customFormat="1" hidden="1" outlineLevel="2" x14ac:dyDescent="0.25">
      <c r="A66" s="29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3420.53</v>
      </c>
      <c r="E66" s="2"/>
      <c r="F66" s="7">
        <f t="shared" si="36"/>
        <v>2.1244227566070413E-3</v>
      </c>
      <c r="G66" s="2"/>
      <c r="H66" s="6">
        <v>1625.9</v>
      </c>
      <c r="I66" s="2"/>
      <c r="J66" s="7">
        <f t="shared" si="37"/>
        <v>1.068610737687776E-2</v>
      </c>
      <c r="K66" s="2"/>
      <c r="L66" s="6">
        <f t="shared" si="38"/>
        <v>1794.63</v>
      </c>
      <c r="M66" s="2"/>
      <c r="N66" s="7">
        <f t="shared" si="39"/>
        <v>1.1037763700104557</v>
      </c>
      <c r="O66" s="11"/>
      <c r="P66" s="6">
        <v>7686.84</v>
      </c>
      <c r="Q66" s="2"/>
      <c r="R66" s="7">
        <f t="shared" si="40"/>
        <v>2.1696438118681011E-3</v>
      </c>
      <c r="S66" s="2"/>
      <c r="T66" s="6">
        <v>3758.01</v>
      </c>
      <c r="U66" s="2"/>
      <c r="V66" s="7">
        <f t="shared" si="41"/>
        <v>8.4704385187095218E-3</v>
      </c>
      <c r="W66" s="2"/>
      <c r="X66" s="6">
        <f t="shared" si="42"/>
        <v>3928.83</v>
      </c>
      <c r="Y66" s="2"/>
      <c r="Z66" s="7">
        <f t="shared" si="43"/>
        <v>1.0454549083158373</v>
      </c>
    </row>
    <row r="67" spans="1:26" s="24" customFormat="1" hidden="1" outlineLevel="2" x14ac:dyDescent="0.25">
      <c r="A67" s="29"/>
      <c r="B67" s="11" t="str">
        <f>CONCATENATE("          ", "6285", " - ", "JANITORIAL SERVICES")</f>
        <v xml:space="preserve">          6285 - JANITORIAL SERVICES</v>
      </c>
      <c r="C67" s="11"/>
      <c r="D67" s="6">
        <v>13068.05</v>
      </c>
      <c r="E67" s="2"/>
      <c r="F67" s="7">
        <f t="shared" si="36"/>
        <v>8.1163044336633929E-3</v>
      </c>
      <c r="G67" s="2"/>
      <c r="H67" s="6">
        <v>8351.15</v>
      </c>
      <c r="I67" s="2"/>
      <c r="J67" s="7">
        <f t="shared" si="37"/>
        <v>5.4887315099583431E-2</v>
      </c>
      <c r="K67" s="2"/>
      <c r="L67" s="6">
        <f t="shared" si="38"/>
        <v>4716.8999999999996</v>
      </c>
      <c r="M67" s="2"/>
      <c r="N67" s="7">
        <f t="shared" si="39"/>
        <v>0.5648204139549643</v>
      </c>
      <c r="O67" s="11"/>
      <c r="P67" s="6">
        <v>44344.38</v>
      </c>
      <c r="Q67" s="2"/>
      <c r="R67" s="7">
        <f t="shared" si="40"/>
        <v>1.2516392907635331E-2</v>
      </c>
      <c r="S67" s="2"/>
      <c r="T67" s="6">
        <v>32599.68</v>
      </c>
      <c r="U67" s="2"/>
      <c r="V67" s="7">
        <f t="shared" si="41"/>
        <v>7.3478672267930201E-2</v>
      </c>
      <c r="W67" s="2"/>
      <c r="X67" s="6">
        <f t="shared" si="42"/>
        <v>11744.699999999997</v>
      </c>
      <c r="Y67" s="2"/>
      <c r="Z67" s="7">
        <f t="shared" si="43"/>
        <v>0.36027040756228274</v>
      </c>
    </row>
    <row r="68" spans="1:26" s="24" customFormat="1" hidden="1" outlineLevel="2" x14ac:dyDescent="0.25">
      <c r="A68" s="29"/>
      <c r="B68" s="11" t="str">
        <f>CONCATENATE("          ", "6286", " - ", "LAUNDRY EXPENSE")</f>
        <v xml:space="preserve">          6286 - LAUNDRY EXPENSE</v>
      </c>
      <c r="C68" s="11"/>
      <c r="D68" s="6">
        <v>6556.26</v>
      </c>
      <c r="E68" s="2"/>
      <c r="F68" s="7">
        <f t="shared" si="36"/>
        <v>4.0719619305290347E-3</v>
      </c>
      <c r="G68" s="2"/>
      <c r="H68" s="6">
        <v>1921.05</v>
      </c>
      <c r="I68" s="2"/>
      <c r="J68" s="7">
        <f t="shared" si="37"/>
        <v>1.2625958900517265E-2</v>
      </c>
      <c r="K68" s="2"/>
      <c r="L68" s="6">
        <f t="shared" si="38"/>
        <v>4635.21</v>
      </c>
      <c r="M68" s="2"/>
      <c r="N68" s="7">
        <f t="shared" si="39"/>
        <v>2.4128523463730773</v>
      </c>
      <c r="O68" s="11"/>
      <c r="P68" s="6">
        <v>10992.18</v>
      </c>
      <c r="Q68" s="2"/>
      <c r="R68" s="7">
        <f t="shared" si="40"/>
        <v>3.1025903122661983E-3</v>
      </c>
      <c r="S68" s="2"/>
      <c r="T68" s="6">
        <v>7306.66</v>
      </c>
      <c r="U68" s="2"/>
      <c r="V68" s="7">
        <f t="shared" si="41"/>
        <v>1.6468986061004123E-2</v>
      </c>
      <c r="W68" s="2"/>
      <c r="X68" s="6">
        <f t="shared" si="42"/>
        <v>3685.5200000000004</v>
      </c>
      <c r="Y68" s="2"/>
      <c r="Z68" s="7">
        <f t="shared" si="43"/>
        <v>0.50440556971311112</v>
      </c>
    </row>
    <row r="69" spans="1:26" s="28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SUM(OSRRefD22_14x_0)</f>
        <v>82763.31</v>
      </c>
      <c r="E69" s="1"/>
      <c r="F69" s="5">
        <f t="shared" ref="F69:F77" si="44">IF(D$12=0,0,D69/D$12)</f>
        <v>5.1402636192672803E-2</v>
      </c>
      <c r="G69" s="1"/>
      <c r="H69" s="1">
        <f>SUM(OSRRefH22_14x_0)</f>
        <v>19578.689999999999</v>
      </c>
      <c r="I69" s="1"/>
      <c r="J69" s="5">
        <f t="shared" ref="J69:J77" si="45">IF(H$12=0,0,H69/H$12)</f>
        <v>0.128679490521313</v>
      </c>
      <c r="K69" s="1"/>
      <c r="L69" s="1">
        <f t="shared" ref="L69:L77" si="46">+D69-H69</f>
        <v>63184.619999999995</v>
      </c>
      <c r="M69" s="1"/>
      <c r="N69" s="5">
        <f t="shared" ref="N69:N77" si="47">IF(H69=0,0,L69/H69)</f>
        <v>3.2272138738597933</v>
      </c>
      <c r="O69" s="14"/>
      <c r="P69" s="1">
        <f>SUM(OSRRefP22_14x_0)</f>
        <v>159424.41</v>
      </c>
      <c r="Q69" s="1"/>
      <c r="R69" s="5">
        <f t="shared" ref="R69:R77" si="48">IF(P$12=0,0,P69/P$12)</f>
        <v>4.4998228741228254E-2</v>
      </c>
      <c r="S69" s="1"/>
      <c r="T69" s="1">
        <f>SUM(OSRRefT22_14x_0)</f>
        <v>54612.909999999996</v>
      </c>
      <c r="U69" s="1"/>
      <c r="V69" s="5">
        <f t="shared" ref="V69:V77" si="49">IF(T$12=0,0,T69/T$12)</f>
        <v>0.12309581307202917</v>
      </c>
      <c r="W69" s="1"/>
      <c r="X69" s="1">
        <f t="shared" ref="X69:X77" si="50">+P69-T69</f>
        <v>104811.5</v>
      </c>
      <c r="Y69" s="1"/>
      <c r="Z69" s="5">
        <f t="shared" ref="Z69:Z77" si="51">IF(T69=0,0,X69/T69)</f>
        <v>1.9191707601737393</v>
      </c>
    </row>
    <row r="70" spans="1:26" s="24" customFormat="1" hidden="1" outlineLevel="2" x14ac:dyDescent="0.25">
      <c r="A70" s="29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21.98</v>
      </c>
      <c r="Q70" s="2"/>
      <c r="R70" s="7">
        <f t="shared" si="48"/>
        <v>6.2039499956888472E-6</v>
      </c>
      <c r="S70" s="2"/>
      <c r="T70" s="6"/>
      <c r="U70" s="2"/>
      <c r="V70" s="7">
        <f t="shared" si="49"/>
        <v>0</v>
      </c>
      <c r="W70" s="2"/>
      <c r="X70" s="6">
        <f t="shared" si="50"/>
        <v>21.98</v>
      </c>
      <c r="Y70" s="2"/>
      <c r="Z70" s="7">
        <f t="shared" si="51"/>
        <v>0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44"/>
        <v>0</v>
      </c>
      <c r="G71" s="2"/>
      <c r="H71" s="6">
        <v>13495.55</v>
      </c>
      <c r="I71" s="2"/>
      <c r="J71" s="7">
        <f t="shared" si="45"/>
        <v>8.8698503235145235E-2</v>
      </c>
      <c r="K71" s="2"/>
      <c r="L71" s="6">
        <f t="shared" si="46"/>
        <v>-13495.55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31086.65</v>
      </c>
      <c r="U71" s="2"/>
      <c r="V71" s="7">
        <f t="shared" si="49"/>
        <v>7.0068349359805146E-2</v>
      </c>
      <c r="W71" s="2"/>
      <c r="X71" s="6">
        <f t="shared" si="50"/>
        <v>-31086.65</v>
      </c>
      <c r="Y71" s="2"/>
      <c r="Z71" s="7">
        <f t="shared" si="51"/>
        <v>-1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6">
        <v>4968.0200000000004</v>
      </c>
      <c r="E72" s="2"/>
      <c r="F72" s="7">
        <f t="shared" si="44"/>
        <v>3.0855378386621117E-3</v>
      </c>
      <c r="G72" s="2"/>
      <c r="H72" s="6">
        <v>1798.45</v>
      </c>
      <c r="I72" s="2"/>
      <c r="J72" s="7">
        <f t="shared" si="45"/>
        <v>1.1820179477179291E-2</v>
      </c>
      <c r="K72" s="2"/>
      <c r="L72" s="6">
        <f t="shared" si="46"/>
        <v>3169.5700000000006</v>
      </c>
      <c r="M72" s="2"/>
      <c r="N72" s="7">
        <f t="shared" si="47"/>
        <v>1.7623898356918462</v>
      </c>
      <c r="O72" s="11"/>
      <c r="P72" s="6">
        <v>23002.36</v>
      </c>
      <c r="Q72" s="2"/>
      <c r="R72" s="7">
        <f t="shared" si="48"/>
        <v>6.4925155242417341E-3</v>
      </c>
      <c r="S72" s="2"/>
      <c r="T72" s="6">
        <v>7892.16</v>
      </c>
      <c r="U72" s="2"/>
      <c r="V72" s="7">
        <f t="shared" si="49"/>
        <v>1.7788684984824023E-2</v>
      </c>
      <c r="W72" s="2"/>
      <c r="X72" s="6">
        <f t="shared" si="50"/>
        <v>15110.2</v>
      </c>
      <c r="Y72" s="2"/>
      <c r="Z72" s="7">
        <f t="shared" si="51"/>
        <v>1.9145835867493819</v>
      </c>
    </row>
    <row r="73" spans="1:26" s="24" customFormat="1" hidden="1" outlineLevel="2" x14ac:dyDescent="0.25">
      <c r="A73" s="29"/>
      <c r="B73" s="11" t="str">
        <f>CONCATENATE("          ", "6239", " - ", "KITCHEN SUPPLIES")</f>
        <v xml:space="preserve">          6239 - KITCHEN SUPPLIES</v>
      </c>
      <c r="C73" s="11"/>
      <c r="D73" s="6">
        <v>10072.879999999999</v>
      </c>
      <c r="E73" s="2"/>
      <c r="F73" s="7">
        <f t="shared" si="44"/>
        <v>6.2560642638924179E-3</v>
      </c>
      <c r="G73" s="2"/>
      <c r="H73" s="6">
        <v>1244.3599999999999</v>
      </c>
      <c r="I73" s="2"/>
      <c r="J73" s="7">
        <f t="shared" si="45"/>
        <v>8.1784639741014874E-3</v>
      </c>
      <c r="K73" s="2"/>
      <c r="L73" s="6">
        <f t="shared" si="46"/>
        <v>8828.5199999999986</v>
      </c>
      <c r="M73" s="2"/>
      <c r="N73" s="7">
        <f t="shared" si="47"/>
        <v>7.0948278633192965</v>
      </c>
      <c r="O73" s="11"/>
      <c r="P73" s="6">
        <v>23121.57</v>
      </c>
      <c r="Q73" s="2"/>
      <c r="R73" s="7">
        <f t="shared" si="48"/>
        <v>6.5261630619572056E-3</v>
      </c>
      <c r="S73" s="2"/>
      <c r="T73" s="6">
        <v>4171.68</v>
      </c>
      <c r="U73" s="2"/>
      <c r="V73" s="7">
        <f t="shared" si="49"/>
        <v>9.4028379274483393E-3</v>
      </c>
      <c r="W73" s="2"/>
      <c r="X73" s="6">
        <f t="shared" si="50"/>
        <v>18949.89</v>
      </c>
      <c r="Y73" s="2"/>
      <c r="Z73" s="7">
        <f t="shared" si="51"/>
        <v>4.5425080543090548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6">
        <v>4282.01</v>
      </c>
      <c r="E74" s="2"/>
      <c r="F74" s="7">
        <f t="shared" si="44"/>
        <v>2.6594707510294944E-3</v>
      </c>
      <c r="G74" s="2"/>
      <c r="H74" s="6">
        <v>407.69</v>
      </c>
      <c r="I74" s="2"/>
      <c r="J74" s="7">
        <f t="shared" si="45"/>
        <v>2.679512341767202E-3</v>
      </c>
      <c r="K74" s="2"/>
      <c r="L74" s="6">
        <f t="shared" si="46"/>
        <v>3874.32</v>
      </c>
      <c r="M74" s="2"/>
      <c r="N74" s="7">
        <f t="shared" si="47"/>
        <v>9.5031028477519683</v>
      </c>
      <c r="O74" s="11"/>
      <c r="P74" s="6">
        <v>10616.38</v>
      </c>
      <c r="Q74" s="2"/>
      <c r="R74" s="7">
        <f t="shared" si="48"/>
        <v>2.9965191380905897E-3</v>
      </c>
      <c r="S74" s="2"/>
      <c r="T74" s="6">
        <v>1354.93</v>
      </c>
      <c r="U74" s="2"/>
      <c r="V74" s="7">
        <f t="shared" si="49"/>
        <v>3.0539703891567854E-3</v>
      </c>
      <c r="W74" s="2"/>
      <c r="X74" s="6">
        <f t="shared" si="50"/>
        <v>9261.4499999999989</v>
      </c>
      <c r="Y74" s="2"/>
      <c r="Z74" s="7">
        <f t="shared" si="51"/>
        <v>6.8353715690109444</v>
      </c>
    </row>
    <row r="75" spans="1:26" s="24" customFormat="1" hidden="1" outlineLevel="2" x14ac:dyDescent="0.25">
      <c r="A75" s="29"/>
      <c r="B75" s="11" t="str">
        <f>CONCATENATE("          ", "6243", " - ", "PAPER SUPPLIES")</f>
        <v xml:space="preserve">          6243 - PAPER SUPPLIES</v>
      </c>
      <c r="C75" s="11"/>
      <c r="D75" s="6">
        <v>57587.39</v>
      </c>
      <c r="E75" s="2"/>
      <c r="F75" s="7">
        <f t="shared" si="44"/>
        <v>3.5766375915312759E-2</v>
      </c>
      <c r="G75" s="2"/>
      <c r="H75" s="6">
        <v>2632.64</v>
      </c>
      <c r="I75" s="2"/>
      <c r="J75" s="7">
        <f t="shared" si="45"/>
        <v>1.7302831493119789E-2</v>
      </c>
      <c r="K75" s="2"/>
      <c r="L75" s="6">
        <f t="shared" si="46"/>
        <v>54954.75</v>
      </c>
      <c r="M75" s="2"/>
      <c r="N75" s="7">
        <f t="shared" si="47"/>
        <v>20.87438844657834</v>
      </c>
      <c r="O75" s="11"/>
      <c r="P75" s="6">
        <v>96427.09</v>
      </c>
      <c r="Q75" s="2"/>
      <c r="R75" s="7">
        <f t="shared" si="48"/>
        <v>2.7216962902174163E-2</v>
      </c>
      <c r="S75" s="2"/>
      <c r="T75" s="6">
        <v>6292.81</v>
      </c>
      <c r="U75" s="2"/>
      <c r="V75" s="7">
        <f t="shared" si="49"/>
        <v>1.4183799461662013E-2</v>
      </c>
      <c r="W75" s="2"/>
      <c r="X75" s="6">
        <f t="shared" si="50"/>
        <v>90134.28</v>
      </c>
      <c r="Y75" s="2"/>
      <c r="Z75" s="7">
        <f t="shared" si="51"/>
        <v>14.323375407806687</v>
      </c>
    </row>
    <row r="76" spans="1:26" s="24" customFormat="1" hidden="1" outlineLevel="2" x14ac:dyDescent="0.25">
      <c r="A76" s="29"/>
      <c r="B76" s="11" t="str">
        <f>CONCATENATE("          ", "6247", " - ", "STORE SUPPLIES")</f>
        <v xml:space="preserve">          6247 - STORE SUPPLIES</v>
      </c>
      <c r="C76" s="11"/>
      <c r="D76" s="6">
        <v>241.78</v>
      </c>
      <c r="E76" s="2"/>
      <c r="F76" s="7">
        <f t="shared" si="44"/>
        <v>1.5016472128367547E-4</v>
      </c>
      <c r="G76" s="2"/>
      <c r="H76" s="6"/>
      <c r="I76" s="2"/>
      <c r="J76" s="7">
        <f t="shared" si="45"/>
        <v>0</v>
      </c>
      <c r="K76" s="2"/>
      <c r="L76" s="6">
        <f t="shared" si="46"/>
        <v>241.78</v>
      </c>
      <c r="M76" s="2"/>
      <c r="N76" s="7">
        <f t="shared" si="47"/>
        <v>0</v>
      </c>
      <c r="O76" s="11"/>
      <c r="P76" s="6">
        <v>623.79999999999995</v>
      </c>
      <c r="Q76" s="2"/>
      <c r="R76" s="7">
        <f t="shared" si="48"/>
        <v>1.7607024601049603E-4</v>
      </c>
      <c r="S76" s="2"/>
      <c r="T76" s="6"/>
      <c r="U76" s="2"/>
      <c r="V76" s="7">
        <f t="shared" si="49"/>
        <v>0</v>
      </c>
      <c r="W76" s="2"/>
      <c r="X76" s="6">
        <f t="shared" si="50"/>
        <v>623.79999999999995</v>
      </c>
      <c r="Y76" s="2"/>
      <c r="Z76" s="7">
        <f t="shared" si="51"/>
        <v>0</v>
      </c>
    </row>
    <row r="77" spans="1:26" s="24" customFormat="1" hidden="1" outlineLevel="2" x14ac:dyDescent="0.25">
      <c r="A77" s="29"/>
      <c r="B77" s="11" t="str">
        <f>CONCATENATE("          ", "6248", " - ", "UNIFORMS")</f>
        <v xml:space="preserve">          6248 - UNIFORMS</v>
      </c>
      <c r="C77" s="11"/>
      <c r="D77" s="6">
        <v>5611.23</v>
      </c>
      <c r="E77" s="2"/>
      <c r="F77" s="7">
        <f t="shared" si="44"/>
        <v>3.4850227024923407E-3</v>
      </c>
      <c r="G77" s="2"/>
      <c r="H77" s="6"/>
      <c r="I77" s="2"/>
      <c r="J77" s="7">
        <f t="shared" si="45"/>
        <v>0</v>
      </c>
      <c r="K77" s="2"/>
      <c r="L77" s="6">
        <f t="shared" si="46"/>
        <v>5611.23</v>
      </c>
      <c r="M77" s="2"/>
      <c r="N77" s="7">
        <f t="shared" si="47"/>
        <v>0</v>
      </c>
      <c r="O77" s="11"/>
      <c r="P77" s="6">
        <v>5611.23</v>
      </c>
      <c r="Q77" s="2"/>
      <c r="R77" s="7">
        <f t="shared" si="48"/>
        <v>1.5837939187583771E-3</v>
      </c>
      <c r="S77" s="2"/>
      <c r="T77" s="6">
        <v>3814.68</v>
      </c>
      <c r="U77" s="2"/>
      <c r="V77" s="7">
        <f t="shared" si="49"/>
        <v>8.5981709491328735E-3</v>
      </c>
      <c r="W77" s="2"/>
      <c r="X77" s="6">
        <f t="shared" si="50"/>
        <v>1796.5499999999997</v>
      </c>
      <c r="Y77" s="2"/>
      <c r="Z77" s="7">
        <f t="shared" si="51"/>
        <v>0.47095693478876338</v>
      </c>
    </row>
    <row r="78" spans="1:26" s="28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1249</v>
      </c>
      <c r="E78" s="1"/>
      <c r="F78" s="5">
        <f t="shared" ref="F78:F84" si="52">IF(D$12=0,0,D78/D$12)</f>
        <v>7.7572891423323127E-4</v>
      </c>
      <c r="G78" s="1"/>
      <c r="H78" s="1">
        <f>SUM(OSRRefH22_15x_0)</f>
        <v>547.32000000000005</v>
      </c>
      <c r="I78" s="1"/>
      <c r="J78" s="5">
        <f t="shared" ref="J78:J84" si="53">IF(H$12=0,0,H78/H$12)</f>
        <v>3.5972201792931523E-3</v>
      </c>
      <c r="K78" s="1"/>
      <c r="L78" s="1">
        <f t="shared" ref="L78:L84" si="54">+D78-H78</f>
        <v>701.68</v>
      </c>
      <c r="M78" s="1"/>
      <c r="N78" s="5">
        <f t="shared" ref="N78:N84" si="55">IF(H78=0,0,L78/H78)</f>
        <v>1.2820287948549294</v>
      </c>
      <c r="O78" s="14"/>
      <c r="P78" s="1">
        <f>SUM(OSRRefP22_15x_0)</f>
        <v>3231.85</v>
      </c>
      <c r="Q78" s="1"/>
      <c r="R78" s="5">
        <f t="shared" ref="R78:R84" si="56">IF(P$12=0,0,P78/P$12)</f>
        <v>9.1220363028057328E-4</v>
      </c>
      <c r="S78" s="1"/>
      <c r="T78" s="1">
        <f>SUM(OSRRefT22_15x_0)</f>
        <v>2787.32</v>
      </c>
      <c r="U78" s="1"/>
      <c r="V78" s="5">
        <f t="shared" ref="V78:V84" si="57">IF(T$12=0,0,T78/T$12)</f>
        <v>6.2825332268858841E-3</v>
      </c>
      <c r="W78" s="1"/>
      <c r="X78" s="1">
        <f t="shared" ref="X78:X84" si="58">+P78-T78</f>
        <v>444.52999999999975</v>
      </c>
      <c r="Y78" s="1"/>
      <c r="Z78" s="5">
        <f t="shared" ref="Z78:Z84" si="59">IF(T78=0,0,X78/T78)</f>
        <v>0.15948294419011799</v>
      </c>
    </row>
    <row r="79" spans="1:26" s="24" customFormat="1" hidden="1" outlineLevel="2" x14ac:dyDescent="0.25">
      <c r="A79" s="29"/>
      <c r="B79" s="11" t="str">
        <f>CONCATENATE("          ", "6309", " - ", "TELEPHONE")</f>
        <v xml:space="preserve">          6309 - TELEPHONE</v>
      </c>
      <c r="C79" s="11"/>
      <c r="D79" s="6">
        <v>1249</v>
      </c>
      <c r="E79" s="2"/>
      <c r="F79" s="7">
        <f t="shared" si="52"/>
        <v>7.7572891423323127E-4</v>
      </c>
      <c r="G79" s="2"/>
      <c r="H79" s="6">
        <v>547.32000000000005</v>
      </c>
      <c r="I79" s="2"/>
      <c r="J79" s="7">
        <f t="shared" si="53"/>
        <v>3.5972201792931523E-3</v>
      </c>
      <c r="K79" s="2"/>
      <c r="L79" s="6">
        <f t="shared" si="54"/>
        <v>701.68</v>
      </c>
      <c r="M79" s="2"/>
      <c r="N79" s="7">
        <f t="shared" si="55"/>
        <v>1.2820287948549294</v>
      </c>
      <c r="O79" s="11"/>
      <c r="P79" s="6">
        <v>3231.85</v>
      </c>
      <c r="Q79" s="2"/>
      <c r="R79" s="7">
        <f t="shared" si="56"/>
        <v>9.1220363028057328E-4</v>
      </c>
      <c r="S79" s="2"/>
      <c r="T79" s="6">
        <v>2787.32</v>
      </c>
      <c r="U79" s="2"/>
      <c r="V79" s="7">
        <f t="shared" si="57"/>
        <v>6.2825332268858841E-3</v>
      </c>
      <c r="W79" s="2"/>
      <c r="X79" s="6">
        <f t="shared" si="58"/>
        <v>444.52999999999975</v>
      </c>
      <c r="Y79" s="2"/>
      <c r="Z79" s="7">
        <f t="shared" si="59"/>
        <v>0.15948294419011799</v>
      </c>
    </row>
    <row r="80" spans="1:26" s="28" customFormat="1" outlineLevel="1" collapsed="1" x14ac:dyDescent="0.25">
      <c r="A80" s="27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385</v>
      </c>
      <c r="I80" s="1"/>
      <c r="J80" s="5">
        <f t="shared" si="53"/>
        <v>2.5303839966159896E-3</v>
      </c>
      <c r="K80" s="1"/>
      <c r="L80" s="1">
        <f t="shared" si="54"/>
        <v>-385</v>
      </c>
      <c r="M80" s="1"/>
      <c r="N80" s="5">
        <f t="shared" si="55"/>
        <v>-1</v>
      </c>
      <c r="O80" s="14"/>
      <c r="P80" s="1">
        <f>SUM(OSRRefP22_16x_0)</f>
        <v>0</v>
      </c>
      <c r="Q80" s="1"/>
      <c r="R80" s="5">
        <f t="shared" si="56"/>
        <v>0</v>
      </c>
      <c r="S80" s="1"/>
      <c r="T80" s="1">
        <f>SUM(OSRRefT22_16x_0)</f>
        <v>735</v>
      </c>
      <c r="U80" s="1"/>
      <c r="V80" s="5">
        <f t="shared" si="57"/>
        <v>1.6566673082965447E-3</v>
      </c>
      <c r="W80" s="1"/>
      <c r="X80" s="1">
        <f t="shared" si="58"/>
        <v>-735</v>
      </c>
      <c r="Y80" s="1"/>
      <c r="Z80" s="5">
        <f t="shared" si="59"/>
        <v>-1</v>
      </c>
    </row>
    <row r="81" spans="1:26" s="24" customFormat="1" hidden="1" outlineLevel="2" x14ac:dyDescent="0.25">
      <c r="A81" s="29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2"/>
        <v>0</v>
      </c>
      <c r="G81" s="2"/>
      <c r="H81" s="6">
        <v>385</v>
      </c>
      <c r="I81" s="2"/>
      <c r="J81" s="7">
        <f t="shared" si="53"/>
        <v>2.5303839966159896E-3</v>
      </c>
      <c r="K81" s="2"/>
      <c r="L81" s="6">
        <f t="shared" si="54"/>
        <v>-385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735</v>
      </c>
      <c r="U81" s="2"/>
      <c r="V81" s="7">
        <f t="shared" si="57"/>
        <v>1.6566673082965447E-3</v>
      </c>
      <c r="W81" s="2"/>
      <c r="X81" s="6">
        <f t="shared" si="58"/>
        <v>-735</v>
      </c>
      <c r="Y81" s="2"/>
      <c r="Z81" s="7">
        <f t="shared" si="59"/>
        <v>-1</v>
      </c>
    </row>
    <row r="82" spans="1:26" s="28" customFormat="1" outlineLevel="1" collapsed="1" x14ac:dyDescent="0.25">
      <c r="A82" s="27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SUM(OSRRefD22_17x_0)</f>
        <v>0</v>
      </c>
      <c r="E82" s="1"/>
      <c r="F82" s="5">
        <f t="shared" si="52"/>
        <v>0</v>
      </c>
      <c r="G82" s="1"/>
      <c r="H82" s="1">
        <f>SUM(OSRRefH22_17x_0)</f>
        <v>0</v>
      </c>
      <c r="I82" s="1"/>
      <c r="J82" s="5">
        <f t="shared" si="53"/>
        <v>0</v>
      </c>
      <c r="K82" s="1"/>
      <c r="L82" s="1">
        <f t="shared" si="54"/>
        <v>0</v>
      </c>
      <c r="M82" s="1"/>
      <c r="N82" s="5">
        <f t="shared" si="55"/>
        <v>0</v>
      </c>
      <c r="O82" s="14"/>
      <c r="P82" s="1">
        <f>SUM(OSRRefP22_17x_0)</f>
        <v>699.02</v>
      </c>
      <c r="Q82" s="1"/>
      <c r="R82" s="5">
        <f t="shared" si="56"/>
        <v>1.9730141610493256E-4</v>
      </c>
      <c r="S82" s="1"/>
      <c r="T82" s="1">
        <f>SUM(OSRRefT22_17x_0)</f>
        <v>0</v>
      </c>
      <c r="U82" s="1"/>
      <c r="V82" s="5">
        <f t="shared" si="57"/>
        <v>0</v>
      </c>
      <c r="W82" s="1"/>
      <c r="X82" s="1">
        <f t="shared" si="58"/>
        <v>699.02</v>
      </c>
      <c r="Y82" s="1"/>
      <c r="Z82" s="5">
        <f t="shared" si="59"/>
        <v>0</v>
      </c>
    </row>
    <row r="83" spans="1:26" s="24" customFormat="1" hidden="1" outlineLevel="2" x14ac:dyDescent="0.25">
      <c r="A83" s="29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1"/>
      <c r="P83" s="6">
        <v>595</v>
      </c>
      <c r="Q83" s="2"/>
      <c r="R83" s="7">
        <f t="shared" si="56"/>
        <v>1.6794132153934778E-4</v>
      </c>
      <c r="S83" s="2"/>
      <c r="T83" s="6"/>
      <c r="U83" s="2"/>
      <c r="V83" s="7">
        <f t="shared" si="57"/>
        <v>0</v>
      </c>
      <c r="W83" s="2"/>
      <c r="X83" s="6">
        <f t="shared" si="58"/>
        <v>595</v>
      </c>
      <c r="Y83" s="2"/>
      <c r="Z83" s="7">
        <f t="shared" si="59"/>
        <v>0</v>
      </c>
    </row>
    <row r="84" spans="1:26" s="24" customFormat="1" hidden="1" outlineLevel="2" x14ac:dyDescent="0.25">
      <c r="A84" s="29"/>
      <c r="B84" s="11" t="str">
        <f>CONCATENATE("          ", "6298", " - ", "VEHICLE MILEAGE")</f>
        <v xml:space="preserve">          6298 - VEHICLE MILEAGE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>
        <v>104.02</v>
      </c>
      <c r="Q84" s="2"/>
      <c r="R84" s="7">
        <f t="shared" si="56"/>
        <v>2.9360094565584797E-5</v>
      </c>
      <c r="S84" s="2"/>
      <c r="T84" s="6"/>
      <c r="U84" s="2"/>
      <c r="V84" s="7">
        <f t="shared" si="57"/>
        <v>0</v>
      </c>
      <c r="W84" s="2"/>
      <c r="X84" s="6">
        <f t="shared" si="58"/>
        <v>104.02</v>
      </c>
      <c r="Y84" s="2"/>
      <c r="Z84" s="7">
        <f t="shared" si="59"/>
        <v>0</v>
      </c>
    </row>
    <row r="85" spans="1:26" s="56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292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276</v>
      </c>
      <c r="C88" s="26"/>
      <c r="D88" s="22">
        <f>+D21-D23+D86</f>
        <v>411637.60999999987</v>
      </c>
      <c r="E88" s="13"/>
      <c r="F88" s="20">
        <f>IF(D$12=0,0,D88/D$12)</f>
        <v>0.25565988491822433</v>
      </c>
      <c r="G88" s="13"/>
      <c r="H88" s="22">
        <f>+H21-H23+H86</f>
        <v>-209343.61999999997</v>
      </c>
      <c r="I88" s="13"/>
      <c r="J88" s="20">
        <f>IF(H$12=0,0,H88/H$12)</f>
        <v>-1.3758954437445687</v>
      </c>
      <c r="K88" s="15"/>
      <c r="L88" s="22">
        <f>+D88-H88</f>
        <v>620981.22999999986</v>
      </c>
      <c r="M88" s="15"/>
      <c r="N88" s="20">
        <f>IF(H88=0,0,L88/H88)</f>
        <v>-2.9663250783568182</v>
      </c>
      <c r="O88" s="25"/>
      <c r="P88" s="22">
        <f>+P21-P23+P86</f>
        <v>787319.32000000053</v>
      </c>
      <c r="Q88" s="13"/>
      <c r="R88" s="20">
        <f>IF(P$12=0,0,P88/P$12)</f>
        <v>0.22222428079707687</v>
      </c>
      <c r="S88" s="13"/>
      <c r="T88" s="22">
        <f>+T21-T23+T86</f>
        <v>-645168.41000000027</v>
      </c>
      <c r="U88" s="13"/>
      <c r="V88" s="20">
        <f>IF(T$12=0,0,T88/T$12)</f>
        <v>-1.4541896778131456</v>
      </c>
      <c r="W88" s="15"/>
      <c r="X88" s="22">
        <f>+P88-T88</f>
        <v>1432487.7300000009</v>
      </c>
      <c r="Y88" s="15"/>
      <c r="Z88" s="20">
        <f>IF(T88=0,0,X88/T88)</f>
        <v>-2.2203314790319637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1"/>
      <c r="B90" s="10" t="s">
        <v>127</v>
      </c>
      <c r="C90" s="10"/>
      <c r="D90" s="4">
        <v>170296.23</v>
      </c>
      <c r="E90" s="4"/>
      <c r="F90" s="12">
        <f>IF(D$12=0,0,D90/D$12)</f>
        <v>0.10576758174212381</v>
      </c>
      <c r="G90" s="4"/>
      <c r="H90" s="4">
        <v>42102.83</v>
      </c>
      <c r="I90" s="4"/>
      <c r="J90" s="12">
        <f>IF(H$12=0,0,H90/H$12)</f>
        <v>0.27671773310193143</v>
      </c>
      <c r="K90" s="4"/>
      <c r="L90" s="4">
        <f>+D90-H90</f>
        <v>128193.40000000001</v>
      </c>
      <c r="M90" s="4"/>
      <c r="N90" s="12">
        <f>IF(H90=0,0,L90/H90)</f>
        <v>3.0447691996001218</v>
      </c>
      <c r="O90" s="10"/>
      <c r="P90" s="4">
        <v>409530.44</v>
      </c>
      <c r="Q90" s="4"/>
      <c r="R90" s="12">
        <f>IF(P$12=0,0,P90/P$12)</f>
        <v>0.11559173664569844</v>
      </c>
      <c r="S90" s="4"/>
      <c r="T90" s="4">
        <v>96106.69</v>
      </c>
      <c r="U90" s="4"/>
      <c r="V90" s="12">
        <f>IF(T$12=0,0,T90/T$12)</f>
        <v>0.21662151215182374</v>
      </c>
      <c r="W90" s="4"/>
      <c r="X90" s="4">
        <f>+P90-T90</f>
        <v>313423.75</v>
      </c>
      <c r="Y90" s="4"/>
      <c r="Z90" s="12">
        <f>IF(T90=0,0,X90/T90)</f>
        <v>3.261206373874701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125</v>
      </c>
      <c r="C92" s="26"/>
      <c r="D92" s="33">
        <f>+D88-D90</f>
        <v>241341.37999999986</v>
      </c>
      <c r="E92" s="13"/>
      <c r="F92" s="31">
        <f>IF(D$12=0,0,D92/D$12)</f>
        <v>0.14989230317610053</v>
      </c>
      <c r="G92" s="13"/>
      <c r="H92" s="33">
        <f>+H88-H90</f>
        <v>-251446.44999999995</v>
      </c>
      <c r="I92" s="13"/>
      <c r="J92" s="31">
        <f>IF(H$12=0,0,H92/H$12)</f>
        <v>-1.6526131768465</v>
      </c>
      <c r="K92" s="15"/>
      <c r="L92" s="33">
        <f>D92-H92</f>
        <v>492787.82999999984</v>
      </c>
      <c r="M92" s="15"/>
      <c r="N92" s="31">
        <f>IF(H92=0,0,L92/H92)</f>
        <v>-1.9598122383513465</v>
      </c>
      <c r="O92" s="25"/>
      <c r="P92" s="33">
        <f>+P88-P90</f>
        <v>377788.88000000053</v>
      </c>
      <c r="Q92" s="13"/>
      <c r="R92" s="31">
        <f>IF(P$12=0,0,P92/P$12)</f>
        <v>0.10663254415137842</v>
      </c>
      <c r="S92" s="13"/>
      <c r="T92" s="33">
        <f>+T88-T90</f>
        <v>-741275.10000000033</v>
      </c>
      <c r="U92" s="13"/>
      <c r="V92" s="31">
        <f>IF(T$12=0,0,T92/T$12)</f>
        <v>-1.6708111899649694</v>
      </c>
      <c r="W92" s="15"/>
      <c r="X92" s="33">
        <f>P92-T92</f>
        <v>1119063.9800000009</v>
      </c>
      <c r="Y92" s="15"/>
      <c r="Z92" s="31">
        <f>IF(T92=0,0,X92/T92)</f>
        <v>-1.5096473360564795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293</v>
      </c>
      <c r="C95" s="26"/>
      <c r="D95" s="34">
        <f>SUM(D92:D94)</f>
        <v>241341.37999999986</v>
      </c>
      <c r="E95" s="13"/>
      <c r="F95" s="30">
        <f>IF(D$12=0,0,D95/D$12)</f>
        <v>0.14989230317610053</v>
      </c>
      <c r="G95" s="13"/>
      <c r="H95" s="34">
        <f>SUM(H92:H94)</f>
        <v>-251446.44999999995</v>
      </c>
      <c r="I95" s="13"/>
      <c r="J95" s="30">
        <f>IF(H$12=0,0,H95/H$12)</f>
        <v>-1.6526131768465</v>
      </c>
      <c r="K95" s="15"/>
      <c r="L95" s="34">
        <f>+D95-H95</f>
        <v>492787.82999999984</v>
      </c>
      <c r="M95" s="15"/>
      <c r="N95" s="30">
        <f>IF(H95=0,0,L95/H95)</f>
        <v>-1.9598122383513465</v>
      </c>
      <c r="O95" s="25"/>
      <c r="P95" s="34">
        <f>SUM(P92:P94)</f>
        <v>377788.88000000053</v>
      </c>
      <c r="Q95" s="13"/>
      <c r="R95" s="30">
        <f>IF(P$12=0,0,P95/P$12)</f>
        <v>0.10663254415137842</v>
      </c>
      <c r="S95" s="13"/>
      <c r="T95" s="34">
        <f>SUM(T92:T94)</f>
        <v>-741275.10000000033</v>
      </c>
      <c r="U95" s="13"/>
      <c r="V95" s="30">
        <f>IF(T$12=0,0,T95/T$12)</f>
        <v>-1.6708111899649694</v>
      </c>
      <c r="W95" s="15"/>
      <c r="X95" s="34">
        <f>+P95-T95</f>
        <v>1119063.9800000009</v>
      </c>
      <c r="Y95" s="15"/>
      <c r="Z95" s="30">
        <f>IF(T95=0,0,X95/T95)</f>
        <v>-1.5096473360564795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1">
        <v>44517.966984108796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7" t="s">
        <v>56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8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22630.600000000002</v>
      </c>
      <c r="E18" s="21"/>
      <c r="F18" s="36">
        <f t="shared" ref="F18:F27" si="0">IF(D$12=0,0,D18/D$12)</f>
        <v>0</v>
      </c>
      <c r="G18" s="21"/>
      <c r="H18" s="21">
        <f>SUM(OSRRefH22x_0)</f>
        <v>18225.39</v>
      </c>
      <c r="I18" s="21"/>
      <c r="J18" s="36">
        <f t="shared" ref="J18:J27" si="1">IF(H$12=0,0,H18/H$12)</f>
        <v>0</v>
      </c>
      <c r="K18" s="4"/>
      <c r="L18" s="21">
        <f t="shared" ref="L18:L27" si="2">+D18-H18</f>
        <v>4405.2100000000028</v>
      </c>
      <c r="M18" s="4"/>
      <c r="N18" s="36">
        <f t="shared" ref="N18:N27" si="3">IF(H18=0,0,L18/H18)</f>
        <v>0.24170731051571478</v>
      </c>
      <c r="O18" s="10"/>
      <c r="P18" s="21">
        <f>SUM(OSRRefP22x_0)</f>
        <v>79066.929999999993</v>
      </c>
      <c r="Q18" s="21"/>
      <c r="R18" s="36">
        <f t="shared" ref="R18:R27" si="4">IF(P$12=0,0,P18/P$12)</f>
        <v>0</v>
      </c>
      <c r="S18" s="21"/>
      <c r="T18" s="21">
        <f>SUM(OSRRefT22x_0)</f>
        <v>65455.35</v>
      </c>
      <c r="U18" s="21"/>
      <c r="V18" s="36">
        <f t="shared" ref="V18:V27" si="5">IF(T$12=0,0,T18/T$12)</f>
        <v>0</v>
      </c>
      <c r="W18" s="4"/>
      <c r="X18" s="21">
        <f t="shared" ref="X18:X27" si="6">+P18-T18</f>
        <v>13611.579999999994</v>
      </c>
      <c r="Y18" s="4"/>
      <c r="Z18" s="36">
        <f t="shared" ref="Z18:Z27" si="7">IF(T18=0,0,X18/T18)</f>
        <v>0.20795213836607696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7252.41</v>
      </c>
      <c r="E19" s="1"/>
      <c r="F19" s="5">
        <f t="shared" si="0"/>
        <v>0</v>
      </c>
      <c r="G19" s="1"/>
      <c r="H19" s="1">
        <f>SUM(OSRRefH22_0x_0)</f>
        <v>6976.08</v>
      </c>
      <c r="I19" s="1"/>
      <c r="J19" s="5">
        <f t="shared" si="1"/>
        <v>0</v>
      </c>
      <c r="K19" s="1"/>
      <c r="L19" s="1">
        <f t="shared" si="2"/>
        <v>276.32999999999993</v>
      </c>
      <c r="M19" s="1"/>
      <c r="N19" s="5">
        <f t="shared" si="3"/>
        <v>3.9611070973956712E-2</v>
      </c>
      <c r="O19" s="14"/>
      <c r="P19" s="1">
        <f>SUM(OSRRefP22_0x_0)</f>
        <v>24396.57</v>
      </c>
      <c r="Q19" s="1"/>
      <c r="R19" s="5">
        <f t="shared" si="4"/>
        <v>0</v>
      </c>
      <c r="S19" s="1"/>
      <c r="T19" s="1">
        <f>SUM(OSRRefT22_0x_0)</f>
        <v>23480.39</v>
      </c>
      <c r="U19" s="1"/>
      <c r="V19" s="5">
        <f t="shared" si="5"/>
        <v>0</v>
      </c>
      <c r="W19" s="1"/>
      <c r="X19" s="1">
        <f t="shared" si="6"/>
        <v>916.18000000000029</v>
      </c>
      <c r="Y19" s="1"/>
      <c r="Z19" s="5">
        <f t="shared" si="7"/>
        <v>3.9018943041406053E-2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1039.5899999999999</v>
      </c>
      <c r="E20" s="2"/>
      <c r="F20" s="7">
        <f t="shared" si="0"/>
        <v>0</v>
      </c>
      <c r="G20" s="2"/>
      <c r="H20" s="6">
        <v>1228.6099999999999</v>
      </c>
      <c r="I20" s="2"/>
      <c r="J20" s="7">
        <f t="shared" si="1"/>
        <v>0</v>
      </c>
      <c r="K20" s="2"/>
      <c r="L20" s="6">
        <f t="shared" si="2"/>
        <v>-189.01999999999998</v>
      </c>
      <c r="M20" s="2"/>
      <c r="N20" s="7">
        <f t="shared" si="3"/>
        <v>-0.15384865823979946</v>
      </c>
      <c r="O20" s="11"/>
      <c r="P20" s="6">
        <v>3107.31</v>
      </c>
      <c r="Q20" s="2"/>
      <c r="R20" s="7">
        <f t="shared" si="4"/>
        <v>0</v>
      </c>
      <c r="S20" s="2"/>
      <c r="T20" s="6">
        <v>3284.87</v>
      </c>
      <c r="U20" s="2"/>
      <c r="V20" s="7">
        <f t="shared" si="5"/>
        <v>0</v>
      </c>
      <c r="W20" s="2"/>
      <c r="X20" s="6">
        <f t="shared" si="6"/>
        <v>-177.55999999999995</v>
      </c>
      <c r="Y20" s="2"/>
      <c r="Z20" s="7">
        <f t="shared" si="7"/>
        <v>-5.4053889499432232E-2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489.22</v>
      </c>
      <c r="E21" s="2"/>
      <c r="F21" s="7">
        <f t="shared" si="0"/>
        <v>0</v>
      </c>
      <c r="G21" s="2"/>
      <c r="H21" s="6">
        <v>384.36</v>
      </c>
      <c r="I21" s="2"/>
      <c r="J21" s="7">
        <f t="shared" si="1"/>
        <v>0</v>
      </c>
      <c r="K21" s="2"/>
      <c r="L21" s="6">
        <f t="shared" si="2"/>
        <v>104.86000000000001</v>
      </c>
      <c r="M21" s="2"/>
      <c r="N21" s="7">
        <f t="shared" si="3"/>
        <v>0.27281715058799044</v>
      </c>
      <c r="O21" s="11"/>
      <c r="P21" s="6">
        <v>1462.24</v>
      </c>
      <c r="Q21" s="2"/>
      <c r="R21" s="7">
        <f t="shared" si="4"/>
        <v>0</v>
      </c>
      <c r="S21" s="2"/>
      <c r="T21" s="6">
        <v>1537.44</v>
      </c>
      <c r="U21" s="2"/>
      <c r="V21" s="7">
        <f t="shared" si="5"/>
        <v>0</v>
      </c>
      <c r="W21" s="2"/>
      <c r="X21" s="6">
        <f t="shared" si="6"/>
        <v>-75.200000000000045</v>
      </c>
      <c r="Y21" s="2"/>
      <c r="Z21" s="7">
        <f t="shared" si="7"/>
        <v>-4.8912477885315879E-2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2687.98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-49.920000000000073</v>
      </c>
      <c r="M22" s="2"/>
      <c r="N22" s="7">
        <f t="shared" si="3"/>
        <v>-1.8232952262683105E-2</v>
      </c>
      <c r="O22" s="11"/>
      <c r="P22" s="6">
        <v>10763.17</v>
      </c>
      <c r="Q22" s="2"/>
      <c r="R22" s="7">
        <f t="shared" si="4"/>
        <v>0</v>
      </c>
      <c r="S22" s="2"/>
      <c r="T22" s="6">
        <v>10951.6</v>
      </c>
      <c r="U22" s="2"/>
      <c r="V22" s="7">
        <f t="shared" si="5"/>
        <v>0</v>
      </c>
      <c r="W22" s="2"/>
      <c r="X22" s="6">
        <f t="shared" si="6"/>
        <v>-188.43000000000029</v>
      </c>
      <c r="Y22" s="2"/>
      <c r="Z22" s="7">
        <f t="shared" si="7"/>
        <v>-1.720570510245081E-2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35.33</v>
      </c>
      <c r="E23" s="2"/>
      <c r="F23" s="7">
        <f t="shared" si="0"/>
        <v>0</v>
      </c>
      <c r="G23" s="2"/>
      <c r="H23" s="6">
        <v>23.29</v>
      </c>
      <c r="I23" s="2"/>
      <c r="J23" s="7">
        <f t="shared" si="1"/>
        <v>0</v>
      </c>
      <c r="K23" s="2"/>
      <c r="L23" s="6">
        <f t="shared" si="2"/>
        <v>12.04</v>
      </c>
      <c r="M23" s="2"/>
      <c r="N23" s="7">
        <f t="shared" si="3"/>
        <v>0.51696006869901245</v>
      </c>
      <c r="O23" s="11"/>
      <c r="P23" s="6">
        <v>105.6</v>
      </c>
      <c r="Q23" s="2"/>
      <c r="R23" s="7">
        <f t="shared" si="4"/>
        <v>0</v>
      </c>
      <c r="S23" s="2"/>
      <c r="T23" s="6">
        <v>93.16</v>
      </c>
      <c r="U23" s="2"/>
      <c r="V23" s="7">
        <f t="shared" si="5"/>
        <v>0</v>
      </c>
      <c r="W23" s="2"/>
      <c r="X23" s="6">
        <f t="shared" si="6"/>
        <v>12.439999999999998</v>
      </c>
      <c r="Y23" s="2"/>
      <c r="Z23" s="7">
        <f t="shared" si="7"/>
        <v>0.1335337054529841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1020.04</v>
      </c>
      <c r="E24" s="2"/>
      <c r="F24" s="7">
        <f t="shared" si="0"/>
        <v>0</v>
      </c>
      <c r="G24" s="2"/>
      <c r="H24" s="6">
        <v>692.57</v>
      </c>
      <c r="I24" s="2"/>
      <c r="J24" s="7">
        <f t="shared" si="1"/>
        <v>0</v>
      </c>
      <c r="K24" s="2"/>
      <c r="L24" s="6">
        <f t="shared" si="2"/>
        <v>327.46999999999991</v>
      </c>
      <c r="M24" s="2"/>
      <c r="N24" s="7">
        <f t="shared" si="3"/>
        <v>0.47283307102531136</v>
      </c>
      <c r="O24" s="11"/>
      <c r="P24" s="6">
        <v>3060.13</v>
      </c>
      <c r="Q24" s="2"/>
      <c r="R24" s="7">
        <f t="shared" si="4"/>
        <v>0</v>
      </c>
      <c r="S24" s="2"/>
      <c r="T24" s="6">
        <v>3116.57</v>
      </c>
      <c r="U24" s="2"/>
      <c r="V24" s="7">
        <f t="shared" si="5"/>
        <v>0</v>
      </c>
      <c r="W24" s="2"/>
      <c r="X24" s="6">
        <f t="shared" si="6"/>
        <v>-56.440000000000055</v>
      </c>
      <c r="Y24" s="2"/>
      <c r="Z24" s="7">
        <f t="shared" si="7"/>
        <v>-1.8109652598850678E-2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6">
        <v>1241.46</v>
      </c>
      <c r="E25" s="2"/>
      <c r="F25" s="7">
        <f t="shared" si="0"/>
        <v>0</v>
      </c>
      <c r="G25" s="2"/>
      <c r="H25" s="6">
        <v>1241.46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3724.38</v>
      </c>
      <c r="Q25" s="2"/>
      <c r="R25" s="7">
        <f t="shared" si="4"/>
        <v>0</v>
      </c>
      <c r="S25" s="2"/>
      <c r="T25" s="6">
        <v>2517.08</v>
      </c>
      <c r="U25" s="2"/>
      <c r="V25" s="7">
        <f t="shared" si="5"/>
        <v>0</v>
      </c>
      <c r="W25" s="2"/>
      <c r="X25" s="6">
        <f t="shared" si="6"/>
        <v>1207.3000000000002</v>
      </c>
      <c r="Y25" s="2"/>
      <c r="Z25" s="7">
        <f t="shared" si="7"/>
        <v>0.47964307848777166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6">
        <v>619.89</v>
      </c>
      <c r="E26" s="2"/>
      <c r="F26" s="7">
        <f t="shared" si="0"/>
        <v>0</v>
      </c>
      <c r="G26" s="2"/>
      <c r="H26" s="6">
        <v>619.89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1859.67</v>
      </c>
      <c r="Q26" s="2"/>
      <c r="R26" s="7">
        <f t="shared" si="4"/>
        <v>0</v>
      </c>
      <c r="S26" s="2"/>
      <c r="T26" s="6">
        <v>1859.67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6">
        <v>118.9</v>
      </c>
      <c r="E27" s="2"/>
      <c r="F27" s="7">
        <f t="shared" si="0"/>
        <v>0</v>
      </c>
      <c r="G27" s="2"/>
      <c r="H27" s="6">
        <v>48</v>
      </c>
      <c r="I27" s="2"/>
      <c r="J27" s="7">
        <f t="shared" si="1"/>
        <v>0</v>
      </c>
      <c r="K27" s="2"/>
      <c r="L27" s="6">
        <f t="shared" si="2"/>
        <v>70.900000000000006</v>
      </c>
      <c r="M27" s="2"/>
      <c r="N27" s="7">
        <f t="shared" si="3"/>
        <v>1.4770833333333335</v>
      </c>
      <c r="O27" s="11"/>
      <c r="P27" s="6">
        <v>314.07</v>
      </c>
      <c r="Q27" s="2"/>
      <c r="R27" s="7">
        <f t="shared" si="4"/>
        <v>0</v>
      </c>
      <c r="S27" s="2"/>
      <c r="T27" s="6">
        <v>120</v>
      </c>
      <c r="U27" s="2"/>
      <c r="V27" s="7">
        <f t="shared" si="5"/>
        <v>0</v>
      </c>
      <c r="W27" s="2"/>
      <c r="X27" s="6">
        <f t="shared" si="6"/>
        <v>194.07</v>
      </c>
      <c r="Y27" s="2"/>
      <c r="Z27" s="7">
        <f t="shared" si="7"/>
        <v>1.6172499999999999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11199.31</v>
      </c>
      <c r="E28" s="1"/>
      <c r="F28" s="5">
        <f t="shared" ref="F28:F38" si="8">IF(D$12=0,0,D28/D$12)</f>
        <v>0</v>
      </c>
      <c r="G28" s="1"/>
      <c r="H28" s="1">
        <f>SUM(OSRRefH22_1x_0)</f>
        <v>11199.31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38973.949999999997</v>
      </c>
      <c r="Q28" s="1"/>
      <c r="R28" s="5">
        <f t="shared" ref="R28:R38" si="12">IF(P$12=0,0,P28/P$12)</f>
        <v>0</v>
      </c>
      <c r="S28" s="1"/>
      <c r="T28" s="1">
        <f>SUM(OSRRefT22_1x_0)</f>
        <v>36734.11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2239.8399999999965</v>
      </c>
      <c r="Y28" s="1"/>
      <c r="Z28" s="5">
        <f t="shared" ref="Z28:Z38" si="15">IF(T28=0,0,X28/T28)</f>
        <v>6.0974391376298391E-2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6">
        <v>11199.31</v>
      </c>
      <c r="E29" s="2"/>
      <c r="F29" s="7">
        <f t="shared" si="8"/>
        <v>0</v>
      </c>
      <c r="G29" s="2"/>
      <c r="H29" s="6">
        <v>11199.31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38973.949999999997</v>
      </c>
      <c r="Q29" s="2"/>
      <c r="R29" s="7">
        <f t="shared" si="12"/>
        <v>0</v>
      </c>
      <c r="S29" s="2"/>
      <c r="T29" s="6">
        <v>36734.11</v>
      </c>
      <c r="U29" s="2"/>
      <c r="V29" s="7">
        <f t="shared" si="13"/>
        <v>0</v>
      </c>
      <c r="W29" s="2"/>
      <c r="X29" s="6">
        <f t="shared" si="14"/>
        <v>2239.8399999999965</v>
      </c>
      <c r="Y29" s="2"/>
      <c r="Z29" s="7">
        <f t="shared" si="15"/>
        <v>6.0974391376298391E-2</v>
      </c>
    </row>
    <row r="30" spans="1:26" s="28" customFormat="1" outlineLevel="1" collapsed="1" x14ac:dyDescent="0.25">
      <c r="A30" s="27"/>
      <c r="B30" s="14" t="str">
        <f>CONCATENATE("     ","Advertising/Promo                                 ")</f>
        <v xml:space="preserve">     Advertising/Promo                                 </v>
      </c>
      <c r="C30" s="14"/>
      <c r="D30" s="1">
        <f>SUM(OSRRefD22_2x_0)</f>
        <v>45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45</v>
      </c>
      <c r="M30" s="1"/>
      <c r="N30" s="5">
        <f t="shared" si="11"/>
        <v>0</v>
      </c>
      <c r="O30" s="14"/>
      <c r="P30" s="1">
        <f>SUM(OSRRefP22_2x_0)</f>
        <v>45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45</v>
      </c>
      <c r="Y30" s="1"/>
      <c r="Z30" s="5">
        <f t="shared" si="15"/>
        <v>0</v>
      </c>
    </row>
    <row r="31" spans="1:26" s="24" customFormat="1" hidden="1" outlineLevel="2" x14ac:dyDescent="0.25">
      <c r="A31" s="29"/>
      <c r="B31" s="11" t="str">
        <f>CONCATENATE("          ", "6362", " - ", "ADVERTISING EXPENSE")</f>
        <v xml:space="preserve">          6362 - ADVERTISING EXPENSE</v>
      </c>
      <c r="C31" s="11"/>
      <c r="D31" s="6">
        <v>45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45</v>
      </c>
      <c r="M31" s="2"/>
      <c r="N31" s="7">
        <f t="shared" si="11"/>
        <v>0</v>
      </c>
      <c r="O31" s="11"/>
      <c r="P31" s="6">
        <v>45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45</v>
      </c>
      <c r="Y31" s="2"/>
      <c r="Z31" s="7">
        <f t="shared" si="15"/>
        <v>0</v>
      </c>
    </row>
    <row r="32" spans="1:26" s="28" customFormat="1" outlineLevel="1" collapsed="1" x14ac:dyDescent="0.25">
      <c r="A32" s="27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170</v>
      </c>
      <c r="Q32" s="1"/>
      <c r="R32" s="5">
        <f t="shared" si="12"/>
        <v>0</v>
      </c>
      <c r="S32" s="1"/>
      <c r="T32" s="1">
        <f>SUM(OSRRefT22_3x_0)</f>
        <v>1.65</v>
      </c>
      <c r="U32" s="1"/>
      <c r="V32" s="5">
        <f t="shared" si="13"/>
        <v>0</v>
      </c>
      <c r="W32" s="1"/>
      <c r="X32" s="1">
        <f t="shared" si="14"/>
        <v>168.35</v>
      </c>
      <c r="Y32" s="1"/>
      <c r="Z32" s="5">
        <f t="shared" si="15"/>
        <v>102.03030303030303</v>
      </c>
    </row>
    <row r="33" spans="1:26" s="24" customFormat="1" hidden="1" outlineLevel="2" x14ac:dyDescent="0.25">
      <c r="A33" s="29"/>
      <c r="B33" s="11" t="str">
        <f>CONCATENATE("          ", "6279", " - ", "GENERAL EXPENSE")</f>
        <v xml:space="preserve">          6279 - GENERAL EXPENSE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170</v>
      </c>
      <c r="Q33" s="2"/>
      <c r="R33" s="7">
        <f t="shared" si="12"/>
        <v>0</v>
      </c>
      <c r="S33" s="2"/>
      <c r="T33" s="6">
        <v>1.65</v>
      </c>
      <c r="U33" s="2"/>
      <c r="V33" s="7">
        <f t="shared" si="13"/>
        <v>0</v>
      </c>
      <c r="W33" s="2"/>
      <c r="X33" s="6">
        <f t="shared" si="14"/>
        <v>168.35</v>
      </c>
      <c r="Y33" s="2"/>
      <c r="Z33" s="7">
        <f t="shared" si="15"/>
        <v>102.03030303030303</v>
      </c>
    </row>
    <row r="34" spans="1:26" s="28" customFormat="1" outlineLevel="1" collapsed="1" x14ac:dyDescent="0.25">
      <c r="A34" s="27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3500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3500</v>
      </c>
      <c r="M34" s="1"/>
      <c r="N34" s="5">
        <f t="shared" si="11"/>
        <v>0</v>
      </c>
      <c r="O34" s="14"/>
      <c r="P34" s="1">
        <f>SUM(OSRRefP22_4x_0)</f>
        <v>14000</v>
      </c>
      <c r="Q34" s="1"/>
      <c r="R34" s="5">
        <f t="shared" si="12"/>
        <v>0</v>
      </c>
      <c r="S34" s="1"/>
      <c r="T34" s="1">
        <f>SUM(OSRRefT22_4x_0)</f>
        <v>0</v>
      </c>
      <c r="U34" s="1"/>
      <c r="V34" s="5">
        <f t="shared" si="13"/>
        <v>0</v>
      </c>
      <c r="W34" s="1"/>
      <c r="X34" s="1">
        <f t="shared" si="14"/>
        <v>14000</v>
      </c>
      <c r="Y34" s="1"/>
      <c r="Z34" s="5">
        <f t="shared" si="15"/>
        <v>0</v>
      </c>
    </row>
    <row r="35" spans="1:26" s="24" customFormat="1" hidden="1" outlineLevel="2" x14ac:dyDescent="0.25">
      <c r="A35" s="29"/>
      <c r="B35" s="11" t="str">
        <f>CONCATENATE("          ", "6371", " - ", "COMPUTER SOFTWARE MAINTENANCE")</f>
        <v xml:space="preserve">          6371 - COMPUTER SOFTWARE MAINTENANCE</v>
      </c>
      <c r="C35" s="11"/>
      <c r="D35" s="6">
        <v>3500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3500</v>
      </c>
      <c r="M35" s="2"/>
      <c r="N35" s="7">
        <f t="shared" si="11"/>
        <v>0</v>
      </c>
      <c r="O35" s="11"/>
      <c r="P35" s="6">
        <v>14000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14000</v>
      </c>
      <c r="Y35" s="2"/>
      <c r="Z35" s="7">
        <f t="shared" si="15"/>
        <v>0</v>
      </c>
    </row>
    <row r="36" spans="1:26" s="28" customFormat="1" outlineLevel="1" collapsed="1" x14ac:dyDescent="0.25">
      <c r="A36" s="27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SUM(OSRRefD22_5x_0)</f>
        <v>483.88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483.88</v>
      </c>
      <c r="M36" s="1"/>
      <c r="N36" s="5">
        <f t="shared" si="11"/>
        <v>0</v>
      </c>
      <c r="O36" s="14"/>
      <c r="P36" s="1">
        <f>SUM(OSRRefP22_5x_0)</f>
        <v>528.41</v>
      </c>
      <c r="Q36" s="1"/>
      <c r="R36" s="5">
        <f t="shared" si="12"/>
        <v>0</v>
      </c>
      <c r="S36" s="1"/>
      <c r="T36" s="1">
        <f>SUM(OSRRefT22_5x_0)</f>
        <v>4939.2</v>
      </c>
      <c r="U36" s="1"/>
      <c r="V36" s="5">
        <f t="shared" si="13"/>
        <v>0</v>
      </c>
      <c r="W36" s="1"/>
      <c r="X36" s="1">
        <f t="shared" si="14"/>
        <v>-4410.79</v>
      </c>
      <c r="Y36" s="1"/>
      <c r="Z36" s="5">
        <f t="shared" si="15"/>
        <v>-0.893017087787496</v>
      </c>
    </row>
    <row r="37" spans="1:26" s="24" customFormat="1" hidden="1" outlineLevel="2" x14ac:dyDescent="0.25">
      <c r="A37" s="29"/>
      <c r="B37" s="11" t="str">
        <f>CONCATENATE("          ", "6235", " - ", "COVID-19 EXPENSES")</f>
        <v xml:space="preserve">          6235 - COVID-19 EXPENSES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4939.2</v>
      </c>
      <c r="U37" s="2"/>
      <c r="V37" s="7">
        <f t="shared" si="13"/>
        <v>0</v>
      </c>
      <c r="W37" s="2"/>
      <c r="X37" s="6">
        <f t="shared" si="14"/>
        <v>-4939.2</v>
      </c>
      <c r="Y37" s="2"/>
      <c r="Z37" s="7">
        <f t="shared" si="15"/>
        <v>-1</v>
      </c>
    </row>
    <row r="38" spans="1:26" s="24" customFormat="1" hidden="1" outlineLevel="2" x14ac:dyDescent="0.25">
      <c r="A38" s="29"/>
      <c r="B38" s="11" t="str">
        <f>CONCATENATE("          ", "6241", " - ", "OFFICE EXPENSE")</f>
        <v xml:space="preserve">          6241 - OFFICE EXPENSE</v>
      </c>
      <c r="C38" s="11"/>
      <c r="D38" s="6">
        <v>483.88</v>
      </c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483.88</v>
      </c>
      <c r="M38" s="2"/>
      <c r="N38" s="7">
        <f t="shared" si="11"/>
        <v>0</v>
      </c>
      <c r="O38" s="11"/>
      <c r="P38" s="6">
        <v>528.41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528.41</v>
      </c>
      <c r="Y38" s="2"/>
      <c r="Z38" s="7">
        <f t="shared" si="15"/>
        <v>0</v>
      </c>
    </row>
    <row r="39" spans="1:26" s="28" customFormat="1" outlineLevel="1" collapsed="1" x14ac:dyDescent="0.25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150</v>
      </c>
      <c r="E39" s="1"/>
      <c r="F39" s="5">
        <f t="shared" ref="F39:F42" si="16">IF(D$12=0,0,D39/D$12)</f>
        <v>0</v>
      </c>
      <c r="G39" s="1"/>
      <c r="H39" s="1">
        <f>SUM(OSRRefH22_6x_0)</f>
        <v>50</v>
      </c>
      <c r="I39" s="1"/>
      <c r="J39" s="5">
        <f t="shared" ref="J39:J42" si="17">IF(H$12=0,0,H39/H$12)</f>
        <v>0</v>
      </c>
      <c r="K39" s="1"/>
      <c r="L39" s="1">
        <f t="shared" ref="L39:L42" si="18">+D39-H39</f>
        <v>100</v>
      </c>
      <c r="M39" s="1"/>
      <c r="N39" s="5">
        <f t="shared" ref="N39:N42" si="19">IF(H39=0,0,L39/H39)</f>
        <v>2</v>
      </c>
      <c r="O39" s="14"/>
      <c r="P39" s="1">
        <f>SUM(OSRRefP22_6x_0)</f>
        <v>358</v>
      </c>
      <c r="Q39" s="1"/>
      <c r="R39" s="5">
        <f t="shared" ref="R39:R42" si="20">IF(P$12=0,0,P39/P$12)</f>
        <v>0</v>
      </c>
      <c r="S39" s="1"/>
      <c r="T39" s="1">
        <f>SUM(OSRRefT22_6x_0)</f>
        <v>300</v>
      </c>
      <c r="U39" s="1"/>
      <c r="V39" s="5">
        <f t="shared" ref="V39:V42" si="21">IF(T$12=0,0,T39/T$12)</f>
        <v>0</v>
      </c>
      <c r="W39" s="1"/>
      <c r="X39" s="1">
        <f t="shared" ref="X39:X42" si="22">+P39-T39</f>
        <v>58</v>
      </c>
      <c r="Y39" s="1"/>
      <c r="Z39" s="5">
        <f t="shared" ref="Z39:Z42" si="23">IF(T39=0,0,X39/T39)</f>
        <v>0.19333333333333333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6">
        <v>150</v>
      </c>
      <c r="E40" s="2"/>
      <c r="F40" s="7">
        <f t="shared" si="16"/>
        <v>0</v>
      </c>
      <c r="G40" s="2"/>
      <c r="H40" s="6">
        <v>50</v>
      </c>
      <c r="I40" s="2"/>
      <c r="J40" s="7">
        <f t="shared" si="17"/>
        <v>0</v>
      </c>
      <c r="K40" s="2"/>
      <c r="L40" s="6">
        <f t="shared" si="18"/>
        <v>100</v>
      </c>
      <c r="M40" s="2"/>
      <c r="N40" s="7">
        <f t="shared" si="19"/>
        <v>2</v>
      </c>
      <c r="O40" s="11"/>
      <c r="P40" s="6">
        <v>358</v>
      </c>
      <c r="Q40" s="2"/>
      <c r="R40" s="7">
        <f t="shared" si="20"/>
        <v>0</v>
      </c>
      <c r="S40" s="2"/>
      <c r="T40" s="6">
        <v>300</v>
      </c>
      <c r="U40" s="2"/>
      <c r="V40" s="7">
        <f t="shared" si="21"/>
        <v>0</v>
      </c>
      <c r="W40" s="2"/>
      <c r="X40" s="6">
        <f t="shared" si="22"/>
        <v>58</v>
      </c>
      <c r="Y40" s="2"/>
      <c r="Z40" s="7">
        <f t="shared" si="23"/>
        <v>0.19333333333333333</v>
      </c>
    </row>
    <row r="41" spans="1:26" s="28" customFormat="1" outlineLevel="1" collapsed="1" x14ac:dyDescent="0.25">
      <c r="A41" s="27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SUM(OSRRefP22_7x_0)</f>
        <v>595</v>
      </c>
      <c r="Q41" s="1"/>
      <c r="R41" s="5">
        <f t="shared" si="20"/>
        <v>0</v>
      </c>
      <c r="S41" s="1"/>
      <c r="T41" s="1">
        <f>SUM(OSRRefT22_7x_0)</f>
        <v>0</v>
      </c>
      <c r="U41" s="1"/>
      <c r="V41" s="5">
        <f t="shared" si="21"/>
        <v>0</v>
      </c>
      <c r="W41" s="1"/>
      <c r="X41" s="1">
        <f t="shared" si="22"/>
        <v>595</v>
      </c>
      <c r="Y41" s="1"/>
      <c r="Z41" s="5">
        <f t="shared" si="23"/>
        <v>0</v>
      </c>
    </row>
    <row r="42" spans="1:26" s="24" customFormat="1" hidden="1" outlineLevel="2" x14ac:dyDescent="0.25">
      <c r="A42" s="29"/>
      <c r="B42" s="11" t="str">
        <f>CONCATENATE("          ", "6292", " - ", "TRAVEL/CONFERENCE")</f>
        <v xml:space="preserve">          6292 - TRAVEL/CONFERENCE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595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595</v>
      </c>
      <c r="Y42" s="2"/>
      <c r="Z42" s="7">
        <f t="shared" si="23"/>
        <v>0</v>
      </c>
    </row>
    <row r="43" spans="1:26" s="56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276</v>
      </c>
      <c r="C46" s="26"/>
      <c r="D46" s="22">
        <f>+D16-D18+D44</f>
        <v>-22630.600000000002</v>
      </c>
      <c r="E46" s="13"/>
      <c r="F46" s="20">
        <f>IF(D$12=0,0,D46/D$12)</f>
        <v>0</v>
      </c>
      <c r="G46" s="13"/>
      <c r="H46" s="22">
        <f>+H16-H18+H44</f>
        <v>-18225.39</v>
      </c>
      <c r="I46" s="13"/>
      <c r="J46" s="20">
        <f>IF(H$12=0,0,H46/H$12)</f>
        <v>0</v>
      </c>
      <c r="K46" s="15"/>
      <c r="L46" s="22">
        <f>+D46-H46</f>
        <v>-4405.2100000000028</v>
      </c>
      <c r="M46" s="15"/>
      <c r="N46" s="20">
        <f>IF(H46=0,0,L46/H46)</f>
        <v>0.24170731051571478</v>
      </c>
      <c r="O46" s="25"/>
      <c r="P46" s="22">
        <f>+P16-P18+P44</f>
        <v>-79066.929999999993</v>
      </c>
      <c r="Q46" s="13"/>
      <c r="R46" s="20">
        <f>IF(P$12=0,0,P46/P$12)</f>
        <v>0</v>
      </c>
      <c r="S46" s="13"/>
      <c r="T46" s="22">
        <f>+T16-T18+T44</f>
        <v>-65455.35</v>
      </c>
      <c r="U46" s="13"/>
      <c r="V46" s="20">
        <f>IF(T$12=0,0,T46/T$12)</f>
        <v>0</v>
      </c>
      <c r="W46" s="15"/>
      <c r="X46" s="22">
        <f>+P46-T46</f>
        <v>-13611.579999999994</v>
      </c>
      <c r="Y46" s="15"/>
      <c r="Z46" s="20">
        <f>IF(T46=0,0,X46/T46)</f>
        <v>0.20795213836607696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127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125</v>
      </c>
      <c r="C50" s="26"/>
      <c r="D50" s="33">
        <f>+D46-D48</f>
        <v>-22630.600000000002</v>
      </c>
      <c r="E50" s="13"/>
      <c r="F50" s="31">
        <f>IF(D$12=0,0,D50/D$12)</f>
        <v>0</v>
      </c>
      <c r="G50" s="13"/>
      <c r="H50" s="33">
        <f>+H46-H48</f>
        <v>-18225.39</v>
      </c>
      <c r="I50" s="13"/>
      <c r="J50" s="31">
        <f>IF(H$12=0,0,H50/H$12)</f>
        <v>0</v>
      </c>
      <c r="K50" s="15"/>
      <c r="L50" s="33">
        <f>D50-H50</f>
        <v>-4405.2100000000028</v>
      </c>
      <c r="M50" s="15"/>
      <c r="N50" s="31">
        <f>IF(H50=0,0,L50/H50)</f>
        <v>0.24170731051571478</v>
      </c>
      <c r="O50" s="25"/>
      <c r="P50" s="33">
        <f>+P46-P48</f>
        <v>-79066.929999999993</v>
      </c>
      <c r="Q50" s="13"/>
      <c r="R50" s="31">
        <f>IF(P$12=0,0,P50/P$12)</f>
        <v>0</v>
      </c>
      <c r="S50" s="13"/>
      <c r="T50" s="33">
        <f>+T46-T48</f>
        <v>-65455.35</v>
      </c>
      <c r="U50" s="13"/>
      <c r="V50" s="31">
        <f>IF(T$12=0,0,T50/T$12)</f>
        <v>0</v>
      </c>
      <c r="W50" s="15"/>
      <c r="X50" s="33">
        <f>P50-T50</f>
        <v>-13611.579999999994</v>
      </c>
      <c r="Y50" s="15"/>
      <c r="Z50" s="31">
        <f>IF(T50=0,0,X50/T50)</f>
        <v>0.20795213836607696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293</v>
      </c>
      <c r="C53" s="26"/>
      <c r="D53" s="34">
        <f>SUM(D50:D52)</f>
        <v>-22630.600000000002</v>
      </c>
      <c r="E53" s="13"/>
      <c r="F53" s="30">
        <f>IF(D$12=0,0,D53/D$12)</f>
        <v>0</v>
      </c>
      <c r="G53" s="13"/>
      <c r="H53" s="34">
        <f>SUM(H50:H52)</f>
        <v>-18225.39</v>
      </c>
      <c r="I53" s="13"/>
      <c r="J53" s="30">
        <f>IF(H$12=0,0,H53/H$12)</f>
        <v>0</v>
      </c>
      <c r="K53" s="15"/>
      <c r="L53" s="34">
        <f>+D53-H53</f>
        <v>-4405.2100000000028</v>
      </c>
      <c r="M53" s="15"/>
      <c r="N53" s="30">
        <f>IF(H53=0,0,L53/H53)</f>
        <v>0.24170731051571478</v>
      </c>
      <c r="O53" s="25"/>
      <c r="P53" s="34">
        <f>SUM(P50:P52)</f>
        <v>-79066.929999999993</v>
      </c>
      <c r="Q53" s="13"/>
      <c r="R53" s="30">
        <f>IF(P$12=0,0,P53/P$12)</f>
        <v>0</v>
      </c>
      <c r="S53" s="13"/>
      <c r="T53" s="34">
        <f>SUM(T50:T52)</f>
        <v>-65455.35</v>
      </c>
      <c r="U53" s="13"/>
      <c r="V53" s="30">
        <f>IF(T$12=0,0,T53/T$12)</f>
        <v>0</v>
      </c>
      <c r="W53" s="15"/>
      <c r="X53" s="34">
        <f>+P53-T53</f>
        <v>-13611.579999999994</v>
      </c>
      <c r="Y53" s="15"/>
      <c r="Z53" s="30">
        <f>IF(T53=0,0,X53/T53)</f>
        <v>0.20795213836607696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61">
        <v>44517.967041516204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7" t="s">
        <v>56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8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521058.73</v>
      </c>
      <c r="E12" s="4"/>
      <c r="F12" s="12"/>
      <c r="G12" s="4"/>
      <c r="H12" s="4">
        <f>SUM(OSRRefH13x_0)</f>
        <v>-24093.05</v>
      </c>
      <c r="I12" s="4"/>
      <c r="J12" s="12"/>
      <c r="K12" s="4"/>
      <c r="L12" s="4">
        <f t="shared" ref="L12:L15" si="0">+D12-H12</f>
        <v>545151.78</v>
      </c>
      <c r="M12" s="4"/>
      <c r="N12" s="12">
        <f t="shared" ref="N12:N15" si="1">IF(H12=0,0,L12/H12)</f>
        <v>-22.626931002924081</v>
      </c>
      <c r="O12" s="10"/>
      <c r="P12" s="4">
        <f>SUM(OSRRefP13x_0)</f>
        <v>1309544.9200000002</v>
      </c>
      <c r="Q12" s="4"/>
      <c r="R12" s="12"/>
      <c r="S12" s="4"/>
      <c r="T12" s="4">
        <f>SUM(OSRRefT13x_0)</f>
        <v>23802.12</v>
      </c>
      <c r="U12" s="4"/>
      <c r="V12" s="12"/>
      <c r="W12" s="4"/>
      <c r="X12" s="4">
        <f t="shared" ref="X12:X15" si="2">+P12-T12</f>
        <v>1285742.8</v>
      </c>
      <c r="Y12" s="4"/>
      <c r="Z12" s="12">
        <f t="shared" ref="Z12:Z15" si="3">IF(T12=0,0,X12/T12)</f>
        <v>54.01799503573632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--439.11</f>
        <v>439.11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439.11</v>
      </c>
      <c r="M13" s="2"/>
      <c r="N13" s="19">
        <f t="shared" si="1"/>
        <v>0</v>
      </c>
      <c r="O13" s="11"/>
      <c r="P13" s="2">
        <f>--1312.57</f>
        <v>1312.57</v>
      </c>
      <c r="Q13" s="2"/>
      <c r="R13" s="19"/>
      <c r="S13" s="2"/>
      <c r="T13" s="2">
        <f>--217.65</f>
        <v>217.65</v>
      </c>
      <c r="U13" s="2"/>
      <c r="V13" s="19"/>
      <c r="W13" s="2"/>
      <c r="X13" s="2">
        <f t="shared" si="2"/>
        <v>1094.9199999999998</v>
      </c>
      <c r="Y13" s="2"/>
      <c r="Z13" s="19">
        <f t="shared" si="3"/>
        <v>5.0306455318171368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--512611.43</f>
        <v>512611.43</v>
      </c>
      <c r="E14" s="2"/>
      <c r="F14" s="19"/>
      <c r="G14" s="2"/>
      <c r="H14" s="2">
        <f>-12094.25</f>
        <v>-12094.25</v>
      </c>
      <c r="I14" s="2"/>
      <c r="J14" s="19"/>
      <c r="K14" s="2"/>
      <c r="L14" s="2">
        <f t="shared" si="0"/>
        <v>524705.67999999993</v>
      </c>
      <c r="M14" s="2"/>
      <c r="N14" s="19">
        <f t="shared" si="1"/>
        <v>-43.384722492093346</v>
      </c>
      <c r="O14" s="11"/>
      <c r="P14" s="2">
        <f>--1277473.52</f>
        <v>1277473.52</v>
      </c>
      <c r="Q14" s="2"/>
      <c r="R14" s="19"/>
      <c r="S14" s="2"/>
      <c r="T14" s="2">
        <f>--16096</f>
        <v>16096</v>
      </c>
      <c r="U14" s="2"/>
      <c r="V14" s="19"/>
      <c r="W14" s="2"/>
      <c r="X14" s="2">
        <f t="shared" si="2"/>
        <v>1261377.52</v>
      </c>
      <c r="Y14" s="2"/>
      <c r="Z14" s="19">
        <f t="shared" si="3"/>
        <v>78.365899602385682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--8008.19</f>
        <v>8008.19</v>
      </c>
      <c r="E15" s="2"/>
      <c r="F15" s="19"/>
      <c r="G15" s="2"/>
      <c r="H15" s="2">
        <f>-11998.8</f>
        <v>-11998.8</v>
      </c>
      <c r="I15" s="2"/>
      <c r="J15" s="19"/>
      <c r="K15" s="2"/>
      <c r="L15" s="2">
        <f t="shared" si="0"/>
        <v>20006.989999999998</v>
      </c>
      <c r="M15" s="2"/>
      <c r="N15" s="19">
        <f t="shared" si="1"/>
        <v>-1.6674159082574924</v>
      </c>
      <c r="O15" s="11"/>
      <c r="P15" s="2">
        <f>--30758.83</f>
        <v>30758.83</v>
      </c>
      <c r="Q15" s="2"/>
      <c r="R15" s="19"/>
      <c r="S15" s="2"/>
      <c r="T15" s="2">
        <f>--7488.47</f>
        <v>7488.47</v>
      </c>
      <c r="U15" s="2"/>
      <c r="V15" s="19"/>
      <c r="W15" s="2"/>
      <c r="X15" s="2">
        <f t="shared" si="2"/>
        <v>23270.36</v>
      </c>
      <c r="Y15" s="2"/>
      <c r="Z15" s="19">
        <f t="shared" si="3"/>
        <v>3.1074919175746181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256</v>
      </c>
      <c r="C17" s="10"/>
      <c r="D17" s="4">
        <f>SUM(OSRRefD16x_0)</f>
        <v>153313.06</v>
      </c>
      <c r="E17" s="4"/>
      <c r="F17" s="12">
        <f t="shared" ref="F17:F19" si="4">IF(D$12=0,0,D17/D$12)</f>
        <v>0.29423374213497966</v>
      </c>
      <c r="G17" s="4"/>
      <c r="H17" s="4">
        <f>SUM(OSRRefH16x_0)</f>
        <v>206</v>
      </c>
      <c r="I17" s="4"/>
      <c r="J17" s="12">
        <f t="shared" ref="J17:J19" si="5">IF(H$12=0,0,H17/H$12)</f>
        <v>-8.5501835591591767E-3</v>
      </c>
      <c r="K17" s="4"/>
      <c r="L17" s="4">
        <f t="shared" ref="L17:L19" si="6">+D17-H17</f>
        <v>153107.06</v>
      </c>
      <c r="M17" s="4"/>
      <c r="N17" s="12">
        <f t="shared" ref="N17:N19" si="7">IF(H17=0,0,L17/H17)</f>
        <v>743.23815533980576</v>
      </c>
      <c r="O17" s="10"/>
      <c r="P17" s="4">
        <f>SUM(OSRRefP16x_0)</f>
        <v>340181.94</v>
      </c>
      <c r="Q17" s="4"/>
      <c r="R17" s="12">
        <f t="shared" ref="R17:R19" si="8">IF(P$12=0,0,P17/P$12)</f>
        <v>0.25977111193711472</v>
      </c>
      <c r="S17" s="4"/>
      <c r="T17" s="4">
        <f>SUM(OSRRefT16x_0)</f>
        <v>25322.92</v>
      </c>
      <c r="U17" s="4"/>
      <c r="V17" s="12">
        <f t="shared" ref="V17:V19" si="9">IF(T$12=0,0,T17/T$12)</f>
        <v>1.0638934683129067</v>
      </c>
      <c r="W17" s="4"/>
      <c r="X17" s="4">
        <f t="shared" ref="X17:X19" si="10">+P17-T17</f>
        <v>314859.02</v>
      </c>
      <c r="Y17" s="4"/>
      <c r="Z17" s="12">
        <f t="shared" ref="Z17:Z19" si="11">IF(T17=0,0,X17/T17)</f>
        <v>12.433756454626877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155128.06</v>
      </c>
      <c r="E18" s="2"/>
      <c r="F18" s="19">
        <f t="shared" si="4"/>
        <v>0.29771703469971611</v>
      </c>
      <c r="G18" s="2"/>
      <c r="H18" s="2">
        <v>206</v>
      </c>
      <c r="I18" s="2"/>
      <c r="J18" s="19">
        <f t="shared" si="5"/>
        <v>-8.5501835591591767E-3</v>
      </c>
      <c r="K18" s="2"/>
      <c r="L18" s="2">
        <f t="shared" si="6"/>
        <v>154922.06</v>
      </c>
      <c r="M18" s="2"/>
      <c r="N18" s="19">
        <f t="shared" si="7"/>
        <v>752.04883495145634</v>
      </c>
      <c r="O18" s="11"/>
      <c r="P18" s="2">
        <v>366489.94</v>
      </c>
      <c r="Q18" s="2"/>
      <c r="R18" s="19">
        <f t="shared" si="8"/>
        <v>0.27986053353557355</v>
      </c>
      <c r="S18" s="2"/>
      <c r="T18" s="2">
        <v>14410.92</v>
      </c>
      <c r="U18" s="2"/>
      <c r="V18" s="19">
        <f t="shared" si="9"/>
        <v>0.60544690977106241</v>
      </c>
      <c r="W18" s="2"/>
      <c r="X18" s="2">
        <f t="shared" si="10"/>
        <v>352079.02</v>
      </c>
      <c r="Y18" s="2"/>
      <c r="Z18" s="19">
        <f t="shared" si="11"/>
        <v>24.431404795807627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-1815</v>
      </c>
      <c r="E19" s="2"/>
      <c r="F19" s="19">
        <f t="shared" si="4"/>
        <v>-3.4832925647364167E-3</v>
      </c>
      <c r="G19" s="2"/>
      <c r="H19" s="2"/>
      <c r="I19" s="2"/>
      <c r="J19" s="19">
        <f t="shared" si="5"/>
        <v>0</v>
      </c>
      <c r="K19" s="2"/>
      <c r="L19" s="2">
        <f t="shared" si="6"/>
        <v>-1815</v>
      </c>
      <c r="M19" s="2"/>
      <c r="N19" s="19">
        <f t="shared" si="7"/>
        <v>0</v>
      </c>
      <c r="O19" s="11"/>
      <c r="P19" s="2">
        <v>-26308</v>
      </c>
      <c r="Q19" s="2"/>
      <c r="R19" s="19">
        <f t="shared" si="8"/>
        <v>-2.0089421598458796E-2</v>
      </c>
      <c r="S19" s="2"/>
      <c r="T19" s="2">
        <v>10912</v>
      </c>
      <c r="U19" s="2"/>
      <c r="V19" s="19">
        <f t="shared" si="9"/>
        <v>0.45844655854184418</v>
      </c>
      <c r="W19" s="2"/>
      <c r="X19" s="2">
        <f t="shared" si="10"/>
        <v>-37220</v>
      </c>
      <c r="Y19" s="2"/>
      <c r="Z19" s="19">
        <f t="shared" si="11"/>
        <v>-3.4109237536656893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107</v>
      </c>
      <c r="C21" s="26"/>
      <c r="D21" s="22">
        <f>D12-D17</f>
        <v>367745.67</v>
      </c>
      <c r="E21" s="13"/>
      <c r="F21" s="20">
        <f>IF(D$12=0,0,D21/D$12)</f>
        <v>0.70576625786502034</v>
      </c>
      <c r="G21" s="13"/>
      <c r="H21" s="22">
        <f>H12-H17</f>
        <v>-24299.05</v>
      </c>
      <c r="I21" s="13"/>
      <c r="J21" s="20">
        <f>IF(H$12=0,0,H21/H$12)</f>
        <v>1.0085501835591593</v>
      </c>
      <c r="K21" s="15"/>
      <c r="L21" s="22">
        <f>+D21-H21</f>
        <v>392044.72</v>
      </c>
      <c r="M21" s="15"/>
      <c r="N21" s="20">
        <f>IF(H21=0,0,L21/H21)</f>
        <v>-16.134158331292788</v>
      </c>
      <c r="O21" s="25"/>
      <c r="P21" s="22">
        <f>P12-P17</f>
        <v>969362.98000000021</v>
      </c>
      <c r="Q21" s="13"/>
      <c r="R21" s="20">
        <f>IF(P$12=0,0,P21/P$12)</f>
        <v>0.74022888806288534</v>
      </c>
      <c r="S21" s="13"/>
      <c r="T21" s="22">
        <f>T12-T17</f>
        <v>-1520.7999999999993</v>
      </c>
      <c r="U21" s="13"/>
      <c r="V21" s="20">
        <f>IF(T$12=0,0,T21/T$12)</f>
        <v>-6.3893468312906557E-2</v>
      </c>
      <c r="W21" s="15"/>
      <c r="X21" s="22">
        <f>+P21-T21</f>
        <v>970883.78000000026</v>
      </c>
      <c r="Y21" s="15"/>
      <c r="Z21" s="20">
        <f>IF(T21=0,0,X21/T21)</f>
        <v>-638.40332719621301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294</v>
      </c>
      <c r="C23" s="10"/>
      <c r="D23" s="21">
        <f>SUM(OSRRefD22x_0)</f>
        <v>220502.01999999996</v>
      </c>
      <c r="E23" s="21"/>
      <c r="F23" s="36">
        <f t="shared" ref="F23:F33" si="12">IF(D$12=0,0,D23/D$12)</f>
        <v>0.42318074202499201</v>
      </c>
      <c r="G23" s="21"/>
      <c r="H23" s="21">
        <f>SUM(OSRRefH22x_0)</f>
        <v>55891.359999999993</v>
      </c>
      <c r="I23" s="21"/>
      <c r="J23" s="36">
        <f t="shared" ref="J23:J33" si="13">IF(H$12=0,0,H23/H$12)</f>
        <v>-2.319812560053625</v>
      </c>
      <c r="K23" s="4"/>
      <c r="L23" s="21">
        <f t="shared" ref="L23:L33" si="14">+D23-H23</f>
        <v>164610.65999999997</v>
      </c>
      <c r="M23" s="4"/>
      <c r="N23" s="36">
        <f t="shared" ref="N23:N33" si="15">IF(H23=0,0,L23/H23)</f>
        <v>2.9451897395232463</v>
      </c>
      <c r="O23" s="10"/>
      <c r="P23" s="21">
        <f>SUM(OSRRefP22x_0)</f>
        <v>514038.09999999992</v>
      </c>
      <c r="Q23" s="21"/>
      <c r="R23" s="36">
        <f t="shared" ref="R23:R33" si="16">IF(P$12=0,0,P23/P$12)</f>
        <v>0.39253185755552383</v>
      </c>
      <c r="S23" s="21"/>
      <c r="T23" s="21">
        <f>SUM(OSRRefT22x_0)</f>
        <v>221306.29000000004</v>
      </c>
      <c r="U23" s="21"/>
      <c r="V23" s="36">
        <f t="shared" ref="V23:V33" si="17">IF(T$12=0,0,T23/T$12)</f>
        <v>9.2977554100223028</v>
      </c>
      <c r="W23" s="4"/>
      <c r="X23" s="21">
        <f t="shared" ref="X23:X33" si="18">+P23-T23</f>
        <v>292731.80999999988</v>
      </c>
      <c r="Y23" s="4"/>
      <c r="Z23" s="36">
        <f t="shared" ref="Z23:Z33" si="19">IF(T23=0,0,X23/T23)</f>
        <v>1.3227450968519685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33055.050000000003</v>
      </c>
      <c r="E24" s="1"/>
      <c r="F24" s="5">
        <f t="shared" si="12"/>
        <v>6.3438242364733055E-2</v>
      </c>
      <c r="G24" s="1"/>
      <c r="H24" s="1">
        <f>SUM(OSRRefH22_0x_0)</f>
        <v>23269.629999999997</v>
      </c>
      <c r="I24" s="1"/>
      <c r="J24" s="5">
        <f t="shared" si="13"/>
        <v>-0.96582333909571427</v>
      </c>
      <c r="K24" s="1"/>
      <c r="L24" s="1">
        <f t="shared" si="14"/>
        <v>9785.4200000000055</v>
      </c>
      <c r="M24" s="1"/>
      <c r="N24" s="5">
        <f t="shared" si="15"/>
        <v>0.42052323135348552</v>
      </c>
      <c r="O24" s="14"/>
      <c r="P24" s="1">
        <f>SUM(OSRRefP22_0x_0)</f>
        <v>96618.310000000012</v>
      </c>
      <c r="Q24" s="1"/>
      <c r="R24" s="5">
        <f t="shared" si="16"/>
        <v>7.3780065520776483E-2</v>
      </c>
      <c r="S24" s="1"/>
      <c r="T24" s="1">
        <f>SUM(OSRRefT22_0x_0)</f>
        <v>83689.260000000009</v>
      </c>
      <c r="U24" s="1"/>
      <c r="V24" s="5">
        <f t="shared" si="17"/>
        <v>3.5160422685038144</v>
      </c>
      <c r="W24" s="1"/>
      <c r="X24" s="1">
        <f t="shared" si="18"/>
        <v>12929.050000000003</v>
      </c>
      <c r="Y24" s="1"/>
      <c r="Z24" s="5">
        <f t="shared" si="19"/>
        <v>0.15448875996752751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6">
        <v>5565.21</v>
      </c>
      <c r="E25" s="2"/>
      <c r="F25" s="7">
        <f t="shared" si="12"/>
        <v>1.0680581054653859E-2</v>
      </c>
      <c r="G25" s="2"/>
      <c r="H25" s="6">
        <v>3012.34</v>
      </c>
      <c r="I25" s="2"/>
      <c r="J25" s="7">
        <f t="shared" si="13"/>
        <v>-0.12502941719707553</v>
      </c>
      <c r="K25" s="2"/>
      <c r="L25" s="6">
        <f t="shared" si="14"/>
        <v>2552.87</v>
      </c>
      <c r="M25" s="2"/>
      <c r="N25" s="7">
        <f t="shared" si="15"/>
        <v>0.84747073703499598</v>
      </c>
      <c r="O25" s="11"/>
      <c r="P25" s="6">
        <v>13087.16</v>
      </c>
      <c r="Q25" s="2"/>
      <c r="R25" s="7">
        <f t="shared" si="16"/>
        <v>9.9936701674960479E-3</v>
      </c>
      <c r="S25" s="2"/>
      <c r="T25" s="6">
        <v>8915.56</v>
      </c>
      <c r="U25" s="2"/>
      <c r="V25" s="7">
        <f t="shared" si="17"/>
        <v>0.37456999628604509</v>
      </c>
      <c r="W25" s="2"/>
      <c r="X25" s="6">
        <f t="shared" si="18"/>
        <v>4171.6000000000004</v>
      </c>
      <c r="Y25" s="2"/>
      <c r="Z25" s="7">
        <f t="shared" si="19"/>
        <v>0.46790106286088595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6">
        <v>3753.74</v>
      </c>
      <c r="E26" s="2"/>
      <c r="F26" s="7">
        <f t="shared" si="12"/>
        <v>7.2040631581011989E-3</v>
      </c>
      <c r="G26" s="2"/>
      <c r="H26" s="6">
        <v>1070.6099999999999</v>
      </c>
      <c r="I26" s="2"/>
      <c r="J26" s="7">
        <f t="shared" si="13"/>
        <v>-4.4436466117822357E-2</v>
      </c>
      <c r="K26" s="2"/>
      <c r="L26" s="6">
        <f t="shared" si="14"/>
        <v>2683.13</v>
      </c>
      <c r="M26" s="2"/>
      <c r="N26" s="7">
        <f t="shared" si="15"/>
        <v>2.5061693800730427</v>
      </c>
      <c r="O26" s="11"/>
      <c r="P26" s="6">
        <v>7508.85</v>
      </c>
      <c r="Q26" s="2"/>
      <c r="R26" s="7">
        <f t="shared" si="16"/>
        <v>5.7339384738325731E-3</v>
      </c>
      <c r="S26" s="2"/>
      <c r="T26" s="6">
        <v>4374.1899999999996</v>
      </c>
      <c r="U26" s="2"/>
      <c r="V26" s="7">
        <f t="shared" si="17"/>
        <v>0.18377312609128935</v>
      </c>
      <c r="W26" s="2"/>
      <c r="X26" s="6">
        <f t="shared" si="18"/>
        <v>3134.6600000000008</v>
      </c>
      <c r="Y26" s="2"/>
      <c r="Z26" s="7">
        <f t="shared" si="19"/>
        <v>0.716626392543534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6">
        <v>13128.66</v>
      </c>
      <c r="E27" s="2"/>
      <c r="F27" s="7">
        <f t="shared" si="12"/>
        <v>2.5196123285373226E-2</v>
      </c>
      <c r="G27" s="2"/>
      <c r="H27" s="6">
        <v>12526.51</v>
      </c>
      <c r="I27" s="2"/>
      <c r="J27" s="7">
        <f t="shared" si="13"/>
        <v>-0.51992213522156805</v>
      </c>
      <c r="K27" s="2"/>
      <c r="L27" s="6">
        <f t="shared" si="14"/>
        <v>602.14999999999964</v>
      </c>
      <c r="M27" s="2"/>
      <c r="N27" s="7">
        <f t="shared" si="15"/>
        <v>4.8070053031530703E-2</v>
      </c>
      <c r="O27" s="11"/>
      <c r="P27" s="6">
        <v>49377.89</v>
      </c>
      <c r="Q27" s="2"/>
      <c r="R27" s="7">
        <f t="shared" si="16"/>
        <v>3.7706144513164154E-2</v>
      </c>
      <c r="S27" s="2"/>
      <c r="T27" s="6">
        <v>47406.11</v>
      </c>
      <c r="U27" s="2"/>
      <c r="V27" s="7">
        <f t="shared" si="17"/>
        <v>1.9916759515538953</v>
      </c>
      <c r="W27" s="2"/>
      <c r="X27" s="6">
        <f t="shared" si="18"/>
        <v>1971.7799999999988</v>
      </c>
      <c r="Y27" s="2"/>
      <c r="Z27" s="7">
        <f t="shared" si="19"/>
        <v>4.1593372668628552E-2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271.10000000000002</v>
      </c>
      <c r="E28" s="2"/>
      <c r="F28" s="7">
        <f t="shared" si="12"/>
        <v>5.2028683983473421E-4</v>
      </c>
      <c r="G28" s="2"/>
      <c r="H28" s="6">
        <v>64.89</v>
      </c>
      <c r="I28" s="2"/>
      <c r="J28" s="7">
        <f t="shared" si="13"/>
        <v>-2.6933078211351406E-3</v>
      </c>
      <c r="K28" s="2"/>
      <c r="L28" s="6">
        <f t="shared" si="14"/>
        <v>206.21000000000004</v>
      </c>
      <c r="M28" s="2"/>
      <c r="N28" s="7">
        <f t="shared" si="15"/>
        <v>3.1778394205578677</v>
      </c>
      <c r="O28" s="11"/>
      <c r="P28" s="6">
        <v>542.30999999999995</v>
      </c>
      <c r="Q28" s="2"/>
      <c r="R28" s="7">
        <f t="shared" si="16"/>
        <v>4.1412096043257524E-4</v>
      </c>
      <c r="S28" s="2"/>
      <c r="T28" s="6">
        <v>265.10000000000002</v>
      </c>
      <c r="U28" s="2"/>
      <c r="V28" s="7">
        <f t="shared" si="17"/>
        <v>1.1137663367800853E-2</v>
      </c>
      <c r="W28" s="2"/>
      <c r="X28" s="6">
        <f t="shared" si="18"/>
        <v>277.20999999999992</v>
      </c>
      <c r="Y28" s="2"/>
      <c r="Z28" s="7">
        <f t="shared" si="19"/>
        <v>1.0456808751414557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6">
        <v>2134.5100000000002</v>
      </c>
      <c r="E29" s="2"/>
      <c r="F29" s="7">
        <f t="shared" si="12"/>
        <v>4.0964863979920272E-3</v>
      </c>
      <c r="G29" s="2"/>
      <c r="H29" s="6">
        <v>950.04</v>
      </c>
      <c r="I29" s="2"/>
      <c r="J29" s="7">
        <f t="shared" si="13"/>
        <v>-3.9432118390988272E-2</v>
      </c>
      <c r="K29" s="2"/>
      <c r="L29" s="6">
        <f t="shared" si="14"/>
        <v>1184.4700000000003</v>
      </c>
      <c r="M29" s="2"/>
      <c r="N29" s="7">
        <f t="shared" si="15"/>
        <v>1.2467580312407902</v>
      </c>
      <c r="O29" s="11"/>
      <c r="P29" s="6">
        <v>5184.96</v>
      </c>
      <c r="Q29" s="2"/>
      <c r="R29" s="7">
        <f t="shared" si="16"/>
        <v>3.9593601722344883E-3</v>
      </c>
      <c r="S29" s="2"/>
      <c r="T29" s="6">
        <v>4275.17</v>
      </c>
      <c r="U29" s="2"/>
      <c r="V29" s="7">
        <f t="shared" si="17"/>
        <v>0.17961299245613416</v>
      </c>
      <c r="W29" s="2"/>
      <c r="X29" s="6">
        <f t="shared" si="18"/>
        <v>909.79</v>
      </c>
      <c r="Y29" s="2"/>
      <c r="Z29" s="7">
        <f t="shared" si="19"/>
        <v>0.21280791173216501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6">
        <v>508.99</v>
      </c>
      <c r="E30" s="2"/>
      <c r="F30" s="7">
        <f t="shared" si="12"/>
        <v>9.7683806199734915E-4</v>
      </c>
      <c r="G30" s="2"/>
      <c r="H30" s="6">
        <v>385.64</v>
      </c>
      <c r="I30" s="2"/>
      <c r="J30" s="7">
        <f t="shared" si="13"/>
        <v>-1.6006275668709442E-2</v>
      </c>
      <c r="K30" s="2"/>
      <c r="L30" s="6">
        <f t="shared" si="14"/>
        <v>123.35000000000002</v>
      </c>
      <c r="M30" s="2"/>
      <c r="N30" s="7">
        <f t="shared" si="15"/>
        <v>0.31985789855824093</v>
      </c>
      <c r="O30" s="11"/>
      <c r="P30" s="6">
        <v>1709.3</v>
      </c>
      <c r="Q30" s="2"/>
      <c r="R30" s="7">
        <f t="shared" si="16"/>
        <v>1.3052625945813297E-3</v>
      </c>
      <c r="S30" s="2"/>
      <c r="T30" s="6">
        <v>1633.21</v>
      </c>
      <c r="U30" s="2"/>
      <c r="V30" s="7">
        <f t="shared" si="17"/>
        <v>6.8616156880143456E-2</v>
      </c>
      <c r="W30" s="2"/>
      <c r="X30" s="6">
        <f t="shared" si="18"/>
        <v>76.089999999999918</v>
      </c>
      <c r="Y30" s="2"/>
      <c r="Z30" s="7">
        <f t="shared" si="19"/>
        <v>4.6589232248149301E-2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6">
        <v>3034.41</v>
      </c>
      <c r="E31" s="2"/>
      <c r="F31" s="7">
        <f t="shared" si="12"/>
        <v>5.8235469924858563E-3</v>
      </c>
      <c r="G31" s="2"/>
      <c r="H31" s="6">
        <v>2578.59</v>
      </c>
      <c r="I31" s="2"/>
      <c r="J31" s="7">
        <f t="shared" si="13"/>
        <v>-0.10702630011559351</v>
      </c>
      <c r="K31" s="2"/>
      <c r="L31" s="6">
        <f t="shared" si="14"/>
        <v>455.81999999999971</v>
      </c>
      <c r="M31" s="2"/>
      <c r="N31" s="7">
        <f t="shared" si="15"/>
        <v>0.17677102602585121</v>
      </c>
      <c r="O31" s="11"/>
      <c r="P31" s="6">
        <v>8740.7800000000007</v>
      </c>
      <c r="Q31" s="2"/>
      <c r="R31" s="7">
        <f t="shared" si="16"/>
        <v>6.6746698540131018E-3</v>
      </c>
      <c r="S31" s="2"/>
      <c r="T31" s="6">
        <v>8183.77</v>
      </c>
      <c r="U31" s="2"/>
      <c r="V31" s="7">
        <f t="shared" si="17"/>
        <v>0.3438252559015752</v>
      </c>
      <c r="W31" s="2"/>
      <c r="X31" s="6">
        <f t="shared" si="18"/>
        <v>557.01000000000022</v>
      </c>
      <c r="Y31" s="2"/>
      <c r="Z31" s="7">
        <f t="shared" si="19"/>
        <v>6.8062763249700342E-2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6">
        <v>2581.14</v>
      </c>
      <c r="E32" s="2"/>
      <c r="F32" s="7">
        <f t="shared" si="12"/>
        <v>4.953645052641187E-3</v>
      </c>
      <c r="G32" s="2"/>
      <c r="H32" s="6">
        <v>1686.01</v>
      </c>
      <c r="I32" s="2"/>
      <c r="J32" s="7">
        <f t="shared" si="13"/>
        <v>-6.9979101857174583E-2</v>
      </c>
      <c r="K32" s="2"/>
      <c r="L32" s="6">
        <f t="shared" si="14"/>
        <v>895.12999999999988</v>
      </c>
      <c r="M32" s="2"/>
      <c r="N32" s="7">
        <f t="shared" si="15"/>
        <v>0.53091618673673335</v>
      </c>
      <c r="O32" s="11"/>
      <c r="P32" s="6">
        <v>6263.96</v>
      </c>
      <c r="Q32" s="2"/>
      <c r="R32" s="7">
        <f t="shared" si="16"/>
        <v>4.7833105259191865E-3</v>
      </c>
      <c r="S32" s="2"/>
      <c r="T32" s="6">
        <v>5330.35</v>
      </c>
      <c r="U32" s="2"/>
      <c r="V32" s="7">
        <f t="shared" si="17"/>
        <v>0.22394433773126093</v>
      </c>
      <c r="W32" s="2"/>
      <c r="X32" s="6">
        <f t="shared" si="18"/>
        <v>933.60999999999967</v>
      </c>
      <c r="Y32" s="2"/>
      <c r="Z32" s="7">
        <f t="shared" si="19"/>
        <v>0.17514984944703435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6">
        <v>2077.29</v>
      </c>
      <c r="E33" s="2"/>
      <c r="F33" s="7">
        <f t="shared" si="12"/>
        <v>3.9866715216536151E-3</v>
      </c>
      <c r="G33" s="2"/>
      <c r="H33" s="6">
        <v>995</v>
      </c>
      <c r="I33" s="2"/>
      <c r="J33" s="7">
        <f t="shared" si="13"/>
        <v>-4.1298216705647484E-2</v>
      </c>
      <c r="K33" s="2"/>
      <c r="L33" s="6">
        <f t="shared" si="14"/>
        <v>1082.29</v>
      </c>
      <c r="M33" s="2"/>
      <c r="N33" s="7">
        <f t="shared" si="15"/>
        <v>1.0877286432160804</v>
      </c>
      <c r="O33" s="11"/>
      <c r="P33" s="6">
        <v>4203.1000000000004</v>
      </c>
      <c r="Q33" s="2"/>
      <c r="R33" s="7">
        <f t="shared" si="16"/>
        <v>3.209588259103017E-3</v>
      </c>
      <c r="S33" s="2"/>
      <c r="T33" s="6">
        <v>3305.8</v>
      </c>
      <c r="U33" s="2"/>
      <c r="V33" s="7">
        <f t="shared" si="17"/>
        <v>0.13888678823566977</v>
      </c>
      <c r="W33" s="2"/>
      <c r="X33" s="6">
        <f t="shared" si="18"/>
        <v>897.30000000000018</v>
      </c>
      <c r="Y33" s="2"/>
      <c r="Z33" s="7">
        <f t="shared" si="19"/>
        <v>0.27143202855587156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111131.22000000002</v>
      </c>
      <c r="E34" s="1"/>
      <c r="F34" s="5">
        <f t="shared" ref="F34:F39" si="20">IF(D$12=0,0,D34/D$12)</f>
        <v>0.21327964316037853</v>
      </c>
      <c r="G34" s="1"/>
      <c r="H34" s="1">
        <f>SUM(OSRRefH22_1x_0)</f>
        <v>25913.299999999996</v>
      </c>
      <c r="I34" s="1"/>
      <c r="J34" s="5">
        <f t="shared" ref="J34:J39" si="21">IF(H$12=0,0,H34/H$12)</f>
        <v>-1.0755508331240751</v>
      </c>
      <c r="K34" s="1"/>
      <c r="L34" s="1">
        <f t="shared" ref="L34:L39" si="22">+D34-H34</f>
        <v>85217.920000000013</v>
      </c>
      <c r="M34" s="1"/>
      <c r="N34" s="5">
        <f t="shared" ref="N34:N39" si="23">IF(H34=0,0,L34/H34)</f>
        <v>3.2885784519918353</v>
      </c>
      <c r="O34" s="14"/>
      <c r="P34" s="1">
        <f>SUM(OSRRefP22_1x_0)</f>
        <v>230168.88</v>
      </c>
      <c r="Q34" s="1"/>
      <c r="R34" s="5">
        <f t="shared" ref="R34:R39" si="24">IF(P$12=0,0,P34/P$12)</f>
        <v>0.17576249312623807</v>
      </c>
      <c r="S34" s="1"/>
      <c r="T34" s="1">
        <f>SUM(OSRRefT22_1x_0)</f>
        <v>94786.459999999992</v>
      </c>
      <c r="U34" s="1"/>
      <c r="V34" s="5">
        <f t="shared" ref="V34:V39" si="25">IF(T$12=0,0,T34/T$12)</f>
        <v>3.9822696465692968</v>
      </c>
      <c r="W34" s="1"/>
      <c r="X34" s="1">
        <f t="shared" ref="X34:X39" si="26">+P34-T34</f>
        <v>135382.42000000001</v>
      </c>
      <c r="Y34" s="1"/>
      <c r="Z34" s="5">
        <f t="shared" ref="Z34:Z39" si="27">IF(T34=0,0,X34/T34)</f>
        <v>1.4282885973376369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6">
        <v>19740.43</v>
      </c>
      <c r="E35" s="2"/>
      <c r="F35" s="7">
        <f t="shared" si="20"/>
        <v>3.7885230327107278E-2</v>
      </c>
      <c r="G35" s="2"/>
      <c r="H35" s="6">
        <v>11354.63</v>
      </c>
      <c r="I35" s="2"/>
      <c r="J35" s="7">
        <f t="shared" si="21"/>
        <v>-0.47128238226376484</v>
      </c>
      <c r="K35" s="2"/>
      <c r="L35" s="6">
        <f t="shared" si="22"/>
        <v>8385.8000000000011</v>
      </c>
      <c r="M35" s="2"/>
      <c r="N35" s="7">
        <f t="shared" si="23"/>
        <v>0.73853573388124505</v>
      </c>
      <c r="O35" s="11"/>
      <c r="P35" s="6">
        <v>55589.06</v>
      </c>
      <c r="Q35" s="2"/>
      <c r="R35" s="7">
        <f t="shared" si="24"/>
        <v>4.2449143325301121E-2</v>
      </c>
      <c r="S35" s="2"/>
      <c r="T35" s="6">
        <v>40072.89</v>
      </c>
      <c r="U35" s="2"/>
      <c r="V35" s="7">
        <f t="shared" si="25"/>
        <v>1.6835849075628557</v>
      </c>
      <c r="W35" s="2"/>
      <c r="X35" s="6">
        <f t="shared" si="26"/>
        <v>15516.169999999998</v>
      </c>
      <c r="Y35" s="2"/>
      <c r="Z35" s="7">
        <f t="shared" si="27"/>
        <v>0.3871986772104532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>
        <v>37115.93</v>
      </c>
      <c r="E36" s="2"/>
      <c r="F36" s="7">
        <f t="shared" si="20"/>
        <v>7.1231759229904851E-2</v>
      </c>
      <c r="G36" s="2"/>
      <c r="H36" s="6">
        <v>17760.669999999998</v>
      </c>
      <c r="I36" s="2"/>
      <c r="J36" s="7">
        <f t="shared" si="21"/>
        <v>-0.73716984773617278</v>
      </c>
      <c r="K36" s="2"/>
      <c r="L36" s="6">
        <f t="shared" si="22"/>
        <v>19355.260000000002</v>
      </c>
      <c r="M36" s="2"/>
      <c r="N36" s="7">
        <f t="shared" si="23"/>
        <v>1.0897820859235605</v>
      </c>
      <c r="O36" s="11"/>
      <c r="P36" s="6">
        <v>83901.119999999995</v>
      </c>
      <c r="Q36" s="2"/>
      <c r="R36" s="7">
        <f t="shared" si="24"/>
        <v>6.4068913344339493E-2</v>
      </c>
      <c r="S36" s="2"/>
      <c r="T36" s="6">
        <v>54713.57</v>
      </c>
      <c r="U36" s="2"/>
      <c r="V36" s="7">
        <f t="shared" si="25"/>
        <v>2.2986847390064415</v>
      </c>
      <c r="W36" s="2"/>
      <c r="X36" s="6">
        <f t="shared" si="26"/>
        <v>29187.549999999996</v>
      </c>
      <c r="Y36" s="2"/>
      <c r="Z36" s="7">
        <f t="shared" si="27"/>
        <v>0.53346089461901314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>
        <v>36290.46</v>
      </c>
      <c r="E37" s="2"/>
      <c r="F37" s="7">
        <f t="shared" si="20"/>
        <v>6.964754241810707E-2</v>
      </c>
      <c r="G37" s="2"/>
      <c r="H37" s="6"/>
      <c r="I37" s="2"/>
      <c r="J37" s="7">
        <f t="shared" si="21"/>
        <v>0</v>
      </c>
      <c r="K37" s="2"/>
      <c r="L37" s="6">
        <f t="shared" si="22"/>
        <v>36290.46</v>
      </c>
      <c r="M37" s="2"/>
      <c r="N37" s="7">
        <f t="shared" si="23"/>
        <v>0</v>
      </c>
      <c r="O37" s="11"/>
      <c r="P37" s="6">
        <v>46385.04</v>
      </c>
      <c r="Q37" s="2"/>
      <c r="R37" s="7">
        <f t="shared" si="24"/>
        <v>3.5420732264762632E-2</v>
      </c>
      <c r="S37" s="2"/>
      <c r="T37" s="6"/>
      <c r="U37" s="2"/>
      <c r="V37" s="7">
        <f t="shared" si="25"/>
        <v>0</v>
      </c>
      <c r="W37" s="2"/>
      <c r="X37" s="6">
        <f t="shared" si="26"/>
        <v>46385.04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>
        <v>15549.24</v>
      </c>
      <c r="E38" s="2"/>
      <c r="F38" s="7">
        <f t="shared" si="20"/>
        <v>2.9841626489973596E-2</v>
      </c>
      <c r="G38" s="2"/>
      <c r="H38" s="6">
        <v>-3202</v>
      </c>
      <c r="I38" s="2"/>
      <c r="J38" s="7">
        <f t="shared" si="21"/>
        <v>0.13290139687586255</v>
      </c>
      <c r="K38" s="2"/>
      <c r="L38" s="6">
        <f t="shared" si="22"/>
        <v>18751.239999999998</v>
      </c>
      <c r="M38" s="2"/>
      <c r="N38" s="7">
        <f t="shared" si="23"/>
        <v>-5.8561024359775136</v>
      </c>
      <c r="O38" s="11"/>
      <c r="P38" s="6">
        <v>41858.5</v>
      </c>
      <c r="Q38" s="2"/>
      <c r="R38" s="7">
        <f t="shared" si="24"/>
        <v>3.1964157441808104E-2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41858.5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2435.16</v>
      </c>
      <c r="E39" s="2"/>
      <c r="F39" s="7">
        <f t="shared" si="20"/>
        <v>4.6734846952856922E-3</v>
      </c>
      <c r="G39" s="2"/>
      <c r="H39" s="6"/>
      <c r="I39" s="2"/>
      <c r="J39" s="7">
        <f t="shared" si="21"/>
        <v>0</v>
      </c>
      <c r="K39" s="2"/>
      <c r="L39" s="6">
        <f t="shared" si="22"/>
        <v>2435.16</v>
      </c>
      <c r="M39" s="2"/>
      <c r="N39" s="7">
        <f t="shared" si="23"/>
        <v>0</v>
      </c>
      <c r="O39" s="11"/>
      <c r="P39" s="6">
        <v>2435.16</v>
      </c>
      <c r="Q39" s="2"/>
      <c r="R39" s="7">
        <f t="shared" si="24"/>
        <v>1.8595467500267188E-3</v>
      </c>
      <c r="S39" s="2"/>
      <c r="T39" s="6"/>
      <c r="U39" s="2"/>
      <c r="V39" s="7">
        <f t="shared" si="25"/>
        <v>0</v>
      </c>
      <c r="W39" s="2"/>
      <c r="X39" s="6">
        <f t="shared" si="26"/>
        <v>2435.16</v>
      </c>
      <c r="Y39" s="2"/>
      <c r="Z39" s="7">
        <f t="shared" si="27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8" si="28">IF(D$12=0,0,D40/D$12)</f>
        <v>0</v>
      </c>
      <c r="G40" s="1"/>
      <c r="H40" s="1">
        <f>SUM(OSRRefH22_2x_0)</f>
        <v>0</v>
      </c>
      <c r="I40" s="1"/>
      <c r="J40" s="5">
        <f t="shared" ref="J40:J58" si="29">IF(H$12=0,0,H40/H$12)</f>
        <v>0</v>
      </c>
      <c r="K40" s="1"/>
      <c r="L40" s="1">
        <f t="shared" ref="L40:L58" si="30">+D40-H40</f>
        <v>0</v>
      </c>
      <c r="M40" s="1"/>
      <c r="N40" s="5">
        <f t="shared" ref="N40:N58" si="31">IF(H40=0,0,L40/H40)</f>
        <v>0</v>
      </c>
      <c r="O40" s="14"/>
      <c r="P40" s="1">
        <f>SUM(OSRRefP22_2x_0)</f>
        <v>1014.37</v>
      </c>
      <c r="Q40" s="1"/>
      <c r="R40" s="5">
        <f t="shared" ref="R40:R58" si="32">IF(P$12=0,0,P40/P$12)</f>
        <v>7.7459733110949705E-4</v>
      </c>
      <c r="S40" s="1"/>
      <c r="T40" s="1">
        <f>SUM(OSRRefT22_2x_0)</f>
        <v>204.75</v>
      </c>
      <c r="U40" s="1"/>
      <c r="V40" s="5">
        <f t="shared" ref="V40:V58" si="33">IF(T$12=0,0,T40/T$12)</f>
        <v>8.6021749323169534E-3</v>
      </c>
      <c r="W40" s="1"/>
      <c r="X40" s="1">
        <f t="shared" ref="X40:X58" si="34">+P40-T40</f>
        <v>809.62</v>
      </c>
      <c r="Y40" s="1"/>
      <c r="Z40" s="5">
        <f t="shared" ref="Z40:Z58" si="35">IF(T40=0,0,X40/T40)</f>
        <v>3.954188034188034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1014.37</v>
      </c>
      <c r="Q41" s="2"/>
      <c r="R41" s="7">
        <f t="shared" si="32"/>
        <v>7.7459733110949705E-4</v>
      </c>
      <c r="S41" s="2"/>
      <c r="T41" s="6">
        <v>204.75</v>
      </c>
      <c r="U41" s="2"/>
      <c r="V41" s="7">
        <f t="shared" si="33"/>
        <v>8.6021749323169534E-3</v>
      </c>
      <c r="W41" s="2"/>
      <c r="X41" s="6">
        <f t="shared" si="34"/>
        <v>809.62</v>
      </c>
      <c r="Y41" s="2"/>
      <c r="Z41" s="7">
        <f t="shared" si="35"/>
        <v>3.954188034188034</v>
      </c>
    </row>
    <row r="42" spans="1:26" s="28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-16</v>
      </c>
      <c r="E42" s="1"/>
      <c r="F42" s="5">
        <f t="shared" si="28"/>
        <v>-3.0706711314480808E-5</v>
      </c>
      <c r="G42" s="1"/>
      <c r="H42" s="1">
        <f>SUM(OSRRefH22_3x_0)</f>
        <v>0</v>
      </c>
      <c r="I42" s="1"/>
      <c r="J42" s="5">
        <f t="shared" si="29"/>
        <v>0</v>
      </c>
      <c r="K42" s="1"/>
      <c r="L42" s="1">
        <f t="shared" si="30"/>
        <v>-16</v>
      </c>
      <c r="M42" s="1"/>
      <c r="N42" s="5">
        <f t="shared" si="31"/>
        <v>0</v>
      </c>
      <c r="O42" s="14"/>
      <c r="P42" s="1">
        <f>SUM(OSRRefP22_3x_0)</f>
        <v>-15.9</v>
      </c>
      <c r="Q42" s="1"/>
      <c r="R42" s="5">
        <f t="shared" si="32"/>
        <v>-1.2141622450034015E-5</v>
      </c>
      <c r="S42" s="1"/>
      <c r="T42" s="1">
        <f>SUM(OSRRefT22_3x_0)</f>
        <v>0</v>
      </c>
      <c r="U42" s="1"/>
      <c r="V42" s="5">
        <f t="shared" si="33"/>
        <v>0</v>
      </c>
      <c r="W42" s="1"/>
      <c r="X42" s="1">
        <f t="shared" si="34"/>
        <v>-15.9</v>
      </c>
      <c r="Y42" s="1"/>
      <c r="Z42" s="5">
        <f t="shared" si="35"/>
        <v>0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6">
        <v>-16</v>
      </c>
      <c r="E43" s="2"/>
      <c r="F43" s="7">
        <f t="shared" si="28"/>
        <v>-3.0706711314480808E-5</v>
      </c>
      <c r="G43" s="2"/>
      <c r="H43" s="6"/>
      <c r="I43" s="2"/>
      <c r="J43" s="7">
        <f t="shared" si="29"/>
        <v>0</v>
      </c>
      <c r="K43" s="2"/>
      <c r="L43" s="6">
        <f t="shared" si="30"/>
        <v>-16</v>
      </c>
      <c r="M43" s="2"/>
      <c r="N43" s="7">
        <f t="shared" si="31"/>
        <v>0</v>
      </c>
      <c r="O43" s="11"/>
      <c r="P43" s="6">
        <v>-15.9</v>
      </c>
      <c r="Q43" s="2"/>
      <c r="R43" s="7">
        <f t="shared" si="32"/>
        <v>-1.2141622450034015E-5</v>
      </c>
      <c r="S43" s="2"/>
      <c r="T43" s="6">
        <v>0</v>
      </c>
      <c r="U43" s="2"/>
      <c r="V43" s="7">
        <f t="shared" si="33"/>
        <v>0</v>
      </c>
      <c r="W43" s="2"/>
      <c r="X43" s="6">
        <f t="shared" si="34"/>
        <v>-15.9</v>
      </c>
      <c r="Y43" s="2"/>
      <c r="Z43" s="7">
        <f t="shared" si="35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51.38</v>
      </c>
      <c r="E44" s="1"/>
      <c r="F44" s="5">
        <f t="shared" si="28"/>
        <v>9.86069267086265E-5</v>
      </c>
      <c r="G44" s="1"/>
      <c r="H44" s="1">
        <f>SUM(OSRRefH22_4x_0)</f>
        <v>0</v>
      </c>
      <c r="I44" s="1"/>
      <c r="J44" s="5">
        <f t="shared" si="29"/>
        <v>0</v>
      </c>
      <c r="K44" s="1"/>
      <c r="L44" s="1">
        <f t="shared" si="30"/>
        <v>51.38</v>
      </c>
      <c r="M44" s="1"/>
      <c r="N44" s="5">
        <f t="shared" si="31"/>
        <v>0</v>
      </c>
      <c r="O44" s="14"/>
      <c r="P44" s="1">
        <f>SUM(OSRRefP22_4x_0)</f>
        <v>146.08000000000001</v>
      </c>
      <c r="Q44" s="1"/>
      <c r="R44" s="5">
        <f t="shared" si="32"/>
        <v>1.1155020172962069E-4</v>
      </c>
      <c r="S44" s="1"/>
      <c r="T44" s="1">
        <f>SUM(OSRRefT22_4x_0)</f>
        <v>0</v>
      </c>
      <c r="U44" s="1"/>
      <c r="V44" s="5">
        <f t="shared" si="33"/>
        <v>0</v>
      </c>
      <c r="W44" s="1"/>
      <c r="X44" s="1">
        <f t="shared" si="34"/>
        <v>146.08000000000001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51.38</v>
      </c>
      <c r="E45" s="2"/>
      <c r="F45" s="7">
        <f t="shared" si="28"/>
        <v>9.86069267086265E-5</v>
      </c>
      <c r="G45" s="2"/>
      <c r="H45" s="6"/>
      <c r="I45" s="2"/>
      <c r="J45" s="7">
        <f t="shared" si="29"/>
        <v>0</v>
      </c>
      <c r="K45" s="2"/>
      <c r="L45" s="6">
        <f t="shared" si="30"/>
        <v>51.38</v>
      </c>
      <c r="M45" s="2"/>
      <c r="N45" s="7">
        <f t="shared" si="31"/>
        <v>0</v>
      </c>
      <c r="O45" s="11"/>
      <c r="P45" s="6">
        <v>146.08000000000001</v>
      </c>
      <c r="Q45" s="2"/>
      <c r="R45" s="7">
        <f t="shared" si="32"/>
        <v>1.1155020172962069E-4</v>
      </c>
      <c r="S45" s="2"/>
      <c r="T45" s="6"/>
      <c r="U45" s="2"/>
      <c r="V45" s="7">
        <f t="shared" si="33"/>
        <v>0</v>
      </c>
      <c r="W45" s="2"/>
      <c r="X45" s="6">
        <f t="shared" si="34"/>
        <v>146.08000000000001</v>
      </c>
      <c r="Y45" s="2"/>
      <c r="Z45" s="7">
        <f t="shared" si="35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5.2491203822647786E-4</v>
      </c>
      <c r="G46" s="1"/>
      <c r="H46" s="1">
        <f>SUM(OSRRefH22_5x_0)</f>
        <v>272.74</v>
      </c>
      <c r="I46" s="1"/>
      <c r="J46" s="5">
        <f t="shared" si="29"/>
        <v>-1.132027700934502E-2</v>
      </c>
      <c r="K46" s="1"/>
      <c r="L46" s="1">
        <f t="shared" si="30"/>
        <v>0.76999999999998181</v>
      </c>
      <c r="M46" s="1"/>
      <c r="N46" s="5">
        <f t="shared" si="31"/>
        <v>2.8232015839260165E-3</v>
      </c>
      <c r="O46" s="14"/>
      <c r="P46" s="1">
        <f>SUM(OSRRefP22_5x_0)</f>
        <v>1094.04</v>
      </c>
      <c r="Q46" s="1"/>
      <c r="R46" s="5">
        <f t="shared" si="32"/>
        <v>8.354352594487556E-4</v>
      </c>
      <c r="S46" s="1"/>
      <c r="T46" s="1">
        <f>SUM(OSRRefT22_5x_0)</f>
        <v>826.74</v>
      </c>
      <c r="U46" s="1"/>
      <c r="V46" s="5">
        <f t="shared" si="33"/>
        <v>3.4733880847588369E-2</v>
      </c>
      <c r="W46" s="1"/>
      <c r="X46" s="1">
        <f t="shared" si="34"/>
        <v>267.29999999999995</v>
      </c>
      <c r="Y46" s="1"/>
      <c r="Z46" s="5">
        <f t="shared" si="35"/>
        <v>0.32331809274983664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273.51</v>
      </c>
      <c r="E47" s="2"/>
      <c r="F47" s="7">
        <f t="shared" si="28"/>
        <v>5.2491203822647786E-4</v>
      </c>
      <c r="G47" s="2"/>
      <c r="H47" s="6">
        <v>272.74</v>
      </c>
      <c r="I47" s="2"/>
      <c r="J47" s="7">
        <f t="shared" si="29"/>
        <v>-1.132027700934502E-2</v>
      </c>
      <c r="K47" s="2"/>
      <c r="L47" s="6">
        <f t="shared" si="30"/>
        <v>0.76999999999998181</v>
      </c>
      <c r="M47" s="2"/>
      <c r="N47" s="7">
        <f t="shared" si="31"/>
        <v>2.8232015839260165E-3</v>
      </c>
      <c r="O47" s="11"/>
      <c r="P47" s="6">
        <v>1094.04</v>
      </c>
      <c r="Q47" s="2"/>
      <c r="R47" s="7">
        <f t="shared" si="32"/>
        <v>8.354352594487556E-4</v>
      </c>
      <c r="S47" s="2"/>
      <c r="T47" s="6">
        <v>826.74</v>
      </c>
      <c r="U47" s="2"/>
      <c r="V47" s="7">
        <f t="shared" si="33"/>
        <v>3.4733880847588369E-2</v>
      </c>
      <c r="W47" s="2"/>
      <c r="X47" s="6">
        <f t="shared" si="34"/>
        <v>267.29999999999995</v>
      </c>
      <c r="Y47" s="2"/>
      <c r="Z47" s="7">
        <f t="shared" si="35"/>
        <v>0.32331809274983664</v>
      </c>
    </row>
    <row r="48" spans="1:26" s="28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5282.99</v>
      </c>
      <c r="E48" s="1"/>
      <c r="F48" s="5">
        <f t="shared" si="28"/>
        <v>1.0138953050455561E-2</v>
      </c>
      <c r="G48" s="1"/>
      <c r="H48" s="1">
        <f>SUM(OSRRefH22_6x_0)</f>
        <v>0</v>
      </c>
      <c r="I48" s="1"/>
      <c r="J48" s="5">
        <f t="shared" si="29"/>
        <v>0</v>
      </c>
      <c r="K48" s="1"/>
      <c r="L48" s="1">
        <f t="shared" si="30"/>
        <v>5282.99</v>
      </c>
      <c r="M48" s="1"/>
      <c r="N48" s="5">
        <f t="shared" si="31"/>
        <v>0</v>
      </c>
      <c r="O48" s="14"/>
      <c r="P48" s="1">
        <f>SUM(OSRRefP22_6x_0)</f>
        <v>12277.17</v>
      </c>
      <c r="Q48" s="1"/>
      <c r="R48" s="5">
        <f t="shared" si="32"/>
        <v>9.3751423204329627E-3</v>
      </c>
      <c r="S48" s="1"/>
      <c r="T48" s="1">
        <f>SUM(OSRRefT22_6x_0)</f>
        <v>0</v>
      </c>
      <c r="U48" s="1"/>
      <c r="V48" s="5">
        <f t="shared" si="33"/>
        <v>0</v>
      </c>
      <c r="W48" s="1"/>
      <c r="X48" s="1">
        <f t="shared" si="34"/>
        <v>12277.17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6">
        <v>5282.99</v>
      </c>
      <c r="E49" s="2"/>
      <c r="F49" s="7">
        <f t="shared" si="28"/>
        <v>1.0138953050455561E-2</v>
      </c>
      <c r="G49" s="2"/>
      <c r="H49" s="6"/>
      <c r="I49" s="2"/>
      <c r="J49" s="7">
        <f t="shared" si="29"/>
        <v>0</v>
      </c>
      <c r="K49" s="2"/>
      <c r="L49" s="6">
        <f t="shared" si="30"/>
        <v>5282.99</v>
      </c>
      <c r="M49" s="2"/>
      <c r="N49" s="7">
        <f t="shared" si="31"/>
        <v>0</v>
      </c>
      <c r="O49" s="11"/>
      <c r="P49" s="6">
        <v>12277.17</v>
      </c>
      <c r="Q49" s="2"/>
      <c r="R49" s="7">
        <f t="shared" si="32"/>
        <v>9.3751423204329627E-3</v>
      </c>
      <c r="S49" s="2"/>
      <c r="T49" s="6"/>
      <c r="U49" s="2"/>
      <c r="V49" s="7">
        <f t="shared" si="33"/>
        <v>0</v>
      </c>
      <c r="W49" s="2"/>
      <c r="X49" s="6">
        <f t="shared" si="34"/>
        <v>12277.17</v>
      </c>
      <c r="Y49" s="2"/>
      <c r="Z49" s="7">
        <f t="shared" si="35"/>
        <v>0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1127.73</v>
      </c>
      <c r="E50" s="1"/>
      <c r="F50" s="5">
        <f t="shared" si="28"/>
        <v>2.1643049719174651E-3</v>
      </c>
      <c r="G50" s="1"/>
      <c r="H50" s="1">
        <f>SUM(OSRRefH22_7x_0)</f>
        <v>368.19</v>
      </c>
      <c r="I50" s="1"/>
      <c r="J50" s="5">
        <f t="shared" si="29"/>
        <v>-1.528200041090688E-2</v>
      </c>
      <c r="K50" s="1"/>
      <c r="L50" s="1">
        <f t="shared" si="30"/>
        <v>759.54</v>
      </c>
      <c r="M50" s="1"/>
      <c r="N50" s="5">
        <f t="shared" si="31"/>
        <v>2.062902305874684</v>
      </c>
      <c r="O50" s="14"/>
      <c r="P50" s="1">
        <f>SUM(OSRRefP22_7x_0)</f>
        <v>5510.34</v>
      </c>
      <c r="Q50" s="1"/>
      <c r="R50" s="5">
        <f t="shared" si="32"/>
        <v>4.2078281667497133E-3</v>
      </c>
      <c r="S50" s="1"/>
      <c r="T50" s="1">
        <f>SUM(OSRRefT22_7x_0)</f>
        <v>971.13</v>
      </c>
      <c r="U50" s="1"/>
      <c r="V50" s="5">
        <f t="shared" si="33"/>
        <v>4.0800147213777595E-2</v>
      </c>
      <c r="W50" s="1"/>
      <c r="X50" s="1">
        <f t="shared" si="34"/>
        <v>4539.21</v>
      </c>
      <c r="Y50" s="1"/>
      <c r="Z50" s="5">
        <f t="shared" si="35"/>
        <v>4.6741527910784342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6">
        <v>1127.73</v>
      </c>
      <c r="E51" s="2"/>
      <c r="F51" s="7">
        <f t="shared" si="28"/>
        <v>2.1643049719174651E-3</v>
      </c>
      <c r="G51" s="2"/>
      <c r="H51" s="6">
        <v>368.19</v>
      </c>
      <c r="I51" s="2"/>
      <c r="J51" s="7">
        <f t="shared" si="29"/>
        <v>-1.528200041090688E-2</v>
      </c>
      <c r="K51" s="2"/>
      <c r="L51" s="6">
        <f t="shared" si="30"/>
        <v>759.54</v>
      </c>
      <c r="M51" s="2"/>
      <c r="N51" s="7">
        <f t="shared" si="31"/>
        <v>2.062902305874684</v>
      </c>
      <c r="O51" s="11"/>
      <c r="P51" s="6">
        <v>5510.34</v>
      </c>
      <c r="Q51" s="2"/>
      <c r="R51" s="7">
        <f t="shared" si="32"/>
        <v>4.2078281667497133E-3</v>
      </c>
      <c r="S51" s="2"/>
      <c r="T51" s="6">
        <v>971.13</v>
      </c>
      <c r="U51" s="2"/>
      <c r="V51" s="7">
        <f t="shared" si="33"/>
        <v>4.0800147213777595E-2</v>
      </c>
      <c r="W51" s="2"/>
      <c r="X51" s="6">
        <f t="shared" si="34"/>
        <v>4539.21</v>
      </c>
      <c r="Y51" s="2"/>
      <c r="Z51" s="7">
        <f t="shared" si="35"/>
        <v>4.6741527910784342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0</v>
      </c>
      <c r="E52" s="1"/>
      <c r="F52" s="5">
        <f t="shared" si="28"/>
        <v>0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SUM(OSRRefP22_8x_0)</f>
        <v>7677.62</v>
      </c>
      <c r="Q52" s="1"/>
      <c r="R52" s="5">
        <f t="shared" si="32"/>
        <v>5.8628153053352297E-3</v>
      </c>
      <c r="S52" s="1"/>
      <c r="T52" s="1">
        <f>SUM(OSRRefT22_8x_0)</f>
        <v>3500.2</v>
      </c>
      <c r="U52" s="1"/>
      <c r="V52" s="5">
        <f t="shared" si="33"/>
        <v>0.14705412795162784</v>
      </c>
      <c r="W52" s="1"/>
      <c r="X52" s="1">
        <f t="shared" si="34"/>
        <v>4177.42</v>
      </c>
      <c r="Y52" s="1"/>
      <c r="Z52" s="5">
        <f t="shared" si="35"/>
        <v>1.1934803725501402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7677.62</v>
      </c>
      <c r="Q53" s="2"/>
      <c r="R53" s="7">
        <f t="shared" si="32"/>
        <v>5.8628153053352297E-3</v>
      </c>
      <c r="S53" s="2"/>
      <c r="T53" s="6">
        <v>3500.2</v>
      </c>
      <c r="U53" s="2"/>
      <c r="V53" s="7">
        <f t="shared" si="33"/>
        <v>0.14705412795162784</v>
      </c>
      <c r="W53" s="2"/>
      <c r="X53" s="6">
        <f t="shared" si="34"/>
        <v>4177.42</v>
      </c>
      <c r="Y53" s="2"/>
      <c r="Z53" s="7">
        <f t="shared" si="35"/>
        <v>1.1934803725501402</v>
      </c>
    </row>
    <row r="54" spans="1:26" s="28" customFormat="1" outlineLevel="1" collapsed="1" x14ac:dyDescent="0.25">
      <c r="A54" s="27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41262.06</v>
      </c>
      <c r="E54" s="1"/>
      <c r="F54" s="5">
        <f t="shared" si="28"/>
        <v>7.9188885291299124E-2</v>
      </c>
      <c r="G54" s="1"/>
      <c r="H54" s="1">
        <f>SUM(OSRRefH22_9x_0)</f>
        <v>619.49</v>
      </c>
      <c r="I54" s="1"/>
      <c r="J54" s="5">
        <f t="shared" si="29"/>
        <v>-2.5712394238172419E-2</v>
      </c>
      <c r="K54" s="1"/>
      <c r="L54" s="1">
        <f t="shared" si="30"/>
        <v>40642.57</v>
      </c>
      <c r="M54" s="1"/>
      <c r="N54" s="5">
        <f t="shared" si="31"/>
        <v>65.606498894251715</v>
      </c>
      <c r="O54" s="14"/>
      <c r="P54" s="1">
        <f>SUM(OSRRefP22_9x_0)</f>
        <v>100212.01</v>
      </c>
      <c r="Q54" s="1"/>
      <c r="R54" s="5">
        <f t="shared" si="32"/>
        <v>7.6524301281700194E-2</v>
      </c>
      <c r="S54" s="1"/>
      <c r="T54" s="1">
        <f>SUM(OSRRefT22_9x_0)</f>
        <v>1915.17</v>
      </c>
      <c r="U54" s="1"/>
      <c r="V54" s="5">
        <f t="shared" si="33"/>
        <v>8.0462160513433259E-2</v>
      </c>
      <c r="W54" s="1"/>
      <c r="X54" s="1">
        <f t="shared" si="34"/>
        <v>98296.84</v>
      </c>
      <c r="Y54" s="1"/>
      <c r="Z54" s="5">
        <f t="shared" si="35"/>
        <v>51.325386258138963</v>
      </c>
    </row>
    <row r="55" spans="1:26" s="24" customFormat="1" hidden="1" outlineLevel="2" x14ac:dyDescent="0.25">
      <c r="A55" s="29"/>
      <c r="B55" s="11" t="str">
        <f>CONCATENATE("          ", "6387", " - ", "COMMISSION DUE HOUSING")</f>
        <v xml:space="preserve">          6387 - COMMISSION DUE HOUSING</v>
      </c>
      <c r="C55" s="11"/>
      <c r="D55" s="6">
        <v>41262.06</v>
      </c>
      <c r="E55" s="2"/>
      <c r="F55" s="7">
        <f t="shared" si="28"/>
        <v>7.9188885291299124E-2</v>
      </c>
      <c r="G55" s="2"/>
      <c r="H55" s="6">
        <v>619.49</v>
      </c>
      <c r="I55" s="2"/>
      <c r="J55" s="7">
        <f t="shared" si="29"/>
        <v>-2.5712394238172419E-2</v>
      </c>
      <c r="K55" s="2"/>
      <c r="L55" s="6">
        <f t="shared" si="30"/>
        <v>40642.57</v>
      </c>
      <c r="M55" s="2"/>
      <c r="N55" s="7">
        <f t="shared" si="31"/>
        <v>65.606498894251715</v>
      </c>
      <c r="O55" s="11"/>
      <c r="P55" s="6">
        <v>100212.01</v>
      </c>
      <c r="Q55" s="2"/>
      <c r="R55" s="7">
        <f t="shared" si="32"/>
        <v>7.6524301281700194E-2</v>
      </c>
      <c r="S55" s="2"/>
      <c r="T55" s="6">
        <v>1915.17</v>
      </c>
      <c r="U55" s="2"/>
      <c r="V55" s="7">
        <f t="shared" si="33"/>
        <v>8.0462160513433259E-2</v>
      </c>
      <c r="W55" s="2"/>
      <c r="X55" s="6">
        <f t="shared" si="34"/>
        <v>98296.84</v>
      </c>
      <c r="Y55" s="2"/>
      <c r="Z55" s="7">
        <f t="shared" si="35"/>
        <v>51.325386258138963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1563.93</v>
      </c>
      <c r="E56" s="1"/>
      <c r="F56" s="5">
        <f t="shared" si="28"/>
        <v>3.0014466891284983E-3</v>
      </c>
      <c r="G56" s="1"/>
      <c r="H56" s="1">
        <f>SUM(OSRRefH22_10x_0)</f>
        <v>0</v>
      </c>
      <c r="I56" s="1"/>
      <c r="J56" s="5">
        <f t="shared" si="29"/>
        <v>0</v>
      </c>
      <c r="K56" s="1"/>
      <c r="L56" s="1">
        <f t="shared" si="30"/>
        <v>1563.93</v>
      </c>
      <c r="M56" s="1"/>
      <c r="N56" s="5">
        <f t="shared" si="31"/>
        <v>0</v>
      </c>
      <c r="O56" s="14"/>
      <c r="P56" s="1">
        <f>SUM(OSRRefP22_10x_0)</f>
        <v>1675.76</v>
      </c>
      <c r="Q56" s="1"/>
      <c r="R56" s="5">
        <f t="shared" si="32"/>
        <v>1.279650643828239E-3</v>
      </c>
      <c r="S56" s="1"/>
      <c r="T56" s="1">
        <f>SUM(OSRRefT22_10x_0)</f>
        <v>1157.45</v>
      </c>
      <c r="U56" s="1"/>
      <c r="V56" s="5">
        <f t="shared" si="33"/>
        <v>4.8628021369525071E-2</v>
      </c>
      <c r="W56" s="1"/>
      <c r="X56" s="1">
        <f t="shared" si="34"/>
        <v>518.30999999999995</v>
      </c>
      <c r="Y56" s="1"/>
      <c r="Z56" s="5">
        <f t="shared" si="35"/>
        <v>0.44780336083632116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83.83</v>
      </c>
      <c r="Q57" s="2"/>
      <c r="R57" s="7">
        <f t="shared" si="32"/>
        <v>6.4014604401657318E-5</v>
      </c>
      <c r="S57" s="2"/>
      <c r="T57" s="6">
        <v>1157.45</v>
      </c>
      <c r="U57" s="2"/>
      <c r="V57" s="7">
        <f t="shared" si="33"/>
        <v>4.8628021369525071E-2</v>
      </c>
      <c r="W57" s="2"/>
      <c r="X57" s="6">
        <f t="shared" si="34"/>
        <v>-1073.6200000000001</v>
      </c>
      <c r="Y57" s="2"/>
      <c r="Z57" s="7">
        <f t="shared" si="35"/>
        <v>-0.92757354529353331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1563.93</v>
      </c>
      <c r="E58" s="2"/>
      <c r="F58" s="7">
        <f t="shared" si="28"/>
        <v>3.0014466891284983E-3</v>
      </c>
      <c r="G58" s="2"/>
      <c r="H58" s="6"/>
      <c r="I58" s="2"/>
      <c r="J58" s="7">
        <f t="shared" si="29"/>
        <v>0</v>
      </c>
      <c r="K58" s="2"/>
      <c r="L58" s="6">
        <f t="shared" si="30"/>
        <v>1563.93</v>
      </c>
      <c r="M58" s="2"/>
      <c r="N58" s="7">
        <f t="shared" si="31"/>
        <v>0</v>
      </c>
      <c r="O58" s="11"/>
      <c r="P58" s="6">
        <v>1591.93</v>
      </c>
      <c r="Q58" s="2"/>
      <c r="R58" s="7">
        <f t="shared" si="32"/>
        <v>1.2156360394265818E-3</v>
      </c>
      <c r="S58" s="2"/>
      <c r="T58" s="6"/>
      <c r="U58" s="2"/>
      <c r="V58" s="7">
        <f t="shared" si="33"/>
        <v>0</v>
      </c>
      <c r="W58" s="2"/>
      <c r="X58" s="6">
        <f t="shared" si="34"/>
        <v>1591.93</v>
      </c>
      <c r="Y58" s="2"/>
      <c r="Z58" s="7">
        <f t="shared" si="35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5870.69</v>
      </c>
      <c r="E59" s="1"/>
      <c r="F59" s="5">
        <f t="shared" ref="F59:F62" si="36">IF(D$12=0,0,D59/D$12)</f>
        <v>1.1266848940425582E-2</v>
      </c>
      <c r="G59" s="1"/>
      <c r="H59" s="1">
        <f>SUM(OSRRefH22_11x_0)</f>
        <v>5309.01</v>
      </c>
      <c r="I59" s="1"/>
      <c r="J59" s="5">
        <f t="shared" ref="J59:J62" si="37">IF(H$12=0,0,H59/H$12)</f>
        <v>-0.22035441756025079</v>
      </c>
      <c r="K59" s="1"/>
      <c r="L59" s="1">
        <f t="shared" ref="L59:L62" si="38">+D59-H59</f>
        <v>561.67999999999938</v>
      </c>
      <c r="M59" s="1"/>
      <c r="N59" s="5">
        <f t="shared" ref="N59:N62" si="39">IF(H59=0,0,L59/H59)</f>
        <v>0.10579750273591486</v>
      </c>
      <c r="O59" s="14"/>
      <c r="P59" s="1">
        <f>SUM(OSRRefP22_11x_0)</f>
        <v>21425.48</v>
      </c>
      <c r="Q59" s="1"/>
      <c r="R59" s="5">
        <f t="shared" ref="R59:R62" si="40">IF(P$12=0,0,P59/P$12)</f>
        <v>1.636101188495313E-2</v>
      </c>
      <c r="S59" s="1"/>
      <c r="T59" s="1">
        <f>SUM(OSRRefT22_11x_0)</f>
        <v>25626.739999999998</v>
      </c>
      <c r="U59" s="1"/>
      <c r="V59" s="5">
        <f t="shared" ref="V59:V62" si="41">IF(T$12=0,0,T59/T$12)</f>
        <v>1.0766578775335978</v>
      </c>
      <c r="W59" s="1"/>
      <c r="X59" s="1">
        <f t="shared" ref="X59:X62" si="42">+P59-T59</f>
        <v>-4201.2599999999984</v>
      </c>
      <c r="Y59" s="1"/>
      <c r="Z59" s="5">
        <f t="shared" ref="Z59:Z62" si="43">IF(T59=0,0,X59/T59)</f>
        <v>-0.16394047779780022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1251.96</v>
      </c>
      <c r="E60" s="2"/>
      <c r="F60" s="7">
        <f t="shared" si="36"/>
        <v>2.402723393579837E-3</v>
      </c>
      <c r="G60" s="2"/>
      <c r="H60" s="6">
        <v>286.62</v>
      </c>
      <c r="I60" s="2"/>
      <c r="J60" s="7">
        <f t="shared" si="37"/>
        <v>-1.1896376755952443E-2</v>
      </c>
      <c r="K60" s="2"/>
      <c r="L60" s="6">
        <f t="shared" si="38"/>
        <v>965.34</v>
      </c>
      <c r="M60" s="2"/>
      <c r="N60" s="7">
        <f t="shared" si="39"/>
        <v>3.3680133975298303</v>
      </c>
      <c r="O60" s="11"/>
      <c r="P60" s="6">
        <v>2086.8000000000002</v>
      </c>
      <c r="Q60" s="2"/>
      <c r="R60" s="7">
        <f t="shared" si="40"/>
        <v>1.593530674762955E-3</v>
      </c>
      <c r="S60" s="2"/>
      <c r="T60" s="6">
        <v>834.64</v>
      </c>
      <c r="U60" s="2"/>
      <c r="V60" s="7">
        <f t="shared" si="41"/>
        <v>3.5065784056210123E-2</v>
      </c>
      <c r="W60" s="2"/>
      <c r="X60" s="6">
        <f t="shared" si="42"/>
        <v>1252.1600000000003</v>
      </c>
      <c r="Y60" s="2"/>
      <c r="Z60" s="7">
        <f t="shared" si="43"/>
        <v>1.5002396242691465</v>
      </c>
    </row>
    <row r="61" spans="1:26" s="24" customFormat="1" hidden="1" outlineLevel="2" x14ac:dyDescent="0.25">
      <c r="A61" s="29"/>
      <c r="B61" s="11" t="str">
        <f>CONCATENATE("          ", "6285", " - ", "JANITORIAL SERVICES")</f>
        <v xml:space="preserve">          6285 - JANITORIAL SERVICES</v>
      </c>
      <c r="C61" s="11"/>
      <c r="D61" s="6">
        <v>4447.8599999999997</v>
      </c>
      <c r="E61" s="2"/>
      <c r="F61" s="7">
        <f t="shared" si="36"/>
        <v>8.5361970617016617E-3</v>
      </c>
      <c r="G61" s="2"/>
      <c r="H61" s="6">
        <v>4157.05</v>
      </c>
      <c r="I61" s="2"/>
      <c r="J61" s="7">
        <f t="shared" si="37"/>
        <v>-0.17254145905146923</v>
      </c>
      <c r="K61" s="2"/>
      <c r="L61" s="6">
        <f t="shared" si="38"/>
        <v>290.80999999999949</v>
      </c>
      <c r="M61" s="2"/>
      <c r="N61" s="7">
        <f t="shared" si="39"/>
        <v>6.9955858120542086E-2</v>
      </c>
      <c r="O61" s="11"/>
      <c r="P61" s="6">
        <v>18026.3</v>
      </c>
      <c r="Q61" s="2"/>
      <c r="R61" s="7">
        <f t="shared" si="40"/>
        <v>1.3765316274908689E-2</v>
      </c>
      <c r="S61" s="2"/>
      <c r="T61" s="6">
        <v>20785.25</v>
      </c>
      <c r="U61" s="2"/>
      <c r="V61" s="7">
        <f t="shared" si="41"/>
        <v>0.87325204645636612</v>
      </c>
      <c r="W61" s="2"/>
      <c r="X61" s="6">
        <f t="shared" si="42"/>
        <v>-2758.9500000000007</v>
      </c>
      <c r="Y61" s="2"/>
      <c r="Z61" s="7">
        <f t="shared" si="43"/>
        <v>-0.13273595458317802</v>
      </c>
    </row>
    <row r="62" spans="1:26" s="24" customFormat="1" hidden="1" outlineLevel="2" x14ac:dyDescent="0.25">
      <c r="A62" s="29"/>
      <c r="B62" s="11" t="str">
        <f>CONCATENATE("          ", "6286", " - ", "LAUNDRY EXPENSE")</f>
        <v xml:space="preserve">          6286 - LAUNDRY EXPENSE</v>
      </c>
      <c r="C62" s="11"/>
      <c r="D62" s="6">
        <v>170.87</v>
      </c>
      <c r="E62" s="2"/>
      <c r="F62" s="7">
        <f t="shared" si="36"/>
        <v>3.279284851440835E-4</v>
      </c>
      <c r="G62" s="2"/>
      <c r="H62" s="6">
        <v>865.34</v>
      </c>
      <c r="I62" s="2"/>
      <c r="J62" s="7">
        <f t="shared" si="37"/>
        <v>-3.5916581752829135E-2</v>
      </c>
      <c r="K62" s="2"/>
      <c r="L62" s="6">
        <f t="shared" si="38"/>
        <v>-694.47</v>
      </c>
      <c r="M62" s="2"/>
      <c r="N62" s="7">
        <f t="shared" si="39"/>
        <v>-0.80254004206439089</v>
      </c>
      <c r="O62" s="11"/>
      <c r="P62" s="6">
        <v>1312.38</v>
      </c>
      <c r="Q62" s="2"/>
      <c r="R62" s="7">
        <f t="shared" si="40"/>
        <v>1.0021649352814869E-3</v>
      </c>
      <c r="S62" s="2"/>
      <c r="T62" s="6">
        <v>4006.85</v>
      </c>
      <c r="U62" s="2"/>
      <c r="V62" s="7">
        <f t="shared" si="41"/>
        <v>0.16834004702102165</v>
      </c>
      <c r="W62" s="2"/>
      <c r="X62" s="6">
        <f t="shared" si="42"/>
        <v>-2694.47</v>
      </c>
      <c r="Y62" s="2"/>
      <c r="Z62" s="7">
        <f t="shared" si="43"/>
        <v>-0.67246590214258084</v>
      </c>
    </row>
    <row r="63" spans="1:26" s="28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20510.460000000003</v>
      </c>
      <c r="E63" s="1"/>
      <c r="F63" s="5">
        <f t="shared" ref="F63:F71" si="44">IF(D$12=0,0,D63/D$12)</f>
        <v>3.9363048384200384E-2</v>
      </c>
      <c r="G63" s="1"/>
      <c r="H63" s="1">
        <f>SUM(OSRRefH22_12x_0)</f>
        <v>0</v>
      </c>
      <c r="I63" s="1"/>
      <c r="J63" s="5">
        <f t="shared" ref="J63:J71" si="45">IF(H$12=0,0,H63/H$12)</f>
        <v>0</v>
      </c>
      <c r="K63" s="1"/>
      <c r="L63" s="1">
        <f t="shared" ref="L63:L71" si="46">+D63-H63</f>
        <v>20510.460000000003</v>
      </c>
      <c r="M63" s="1"/>
      <c r="N63" s="5">
        <f t="shared" ref="N63:N71" si="47">IF(H63=0,0,L63/H63)</f>
        <v>0</v>
      </c>
      <c r="O63" s="14"/>
      <c r="P63" s="1">
        <f>SUM(OSRRefP22_12x_0)</f>
        <v>35277.94</v>
      </c>
      <c r="Q63" s="1"/>
      <c r="R63" s="5">
        <f t="shared" ref="R63:R71" si="48">IF(P$12=0,0,P63/P$12)</f>
        <v>2.6939083540563083E-2</v>
      </c>
      <c r="S63" s="1"/>
      <c r="T63" s="1">
        <f>SUM(OSRRefT22_12x_0)</f>
        <v>7986.3899999999994</v>
      </c>
      <c r="U63" s="1"/>
      <c r="V63" s="5">
        <f t="shared" ref="V63:V71" si="49">IF(T$12=0,0,T63/T$12)</f>
        <v>0.33553271725375722</v>
      </c>
      <c r="W63" s="1"/>
      <c r="X63" s="1">
        <f t="shared" ref="X63:X71" si="50">+P63-T63</f>
        <v>27291.550000000003</v>
      </c>
      <c r="Y63" s="1"/>
      <c r="Z63" s="5">
        <f t="shared" ref="Z63:Z71" si="51">IF(T63=0,0,X63/T63)</f>
        <v>3.4172573590821389</v>
      </c>
    </row>
    <row r="64" spans="1:26" s="24" customFormat="1" hidden="1" outlineLevel="2" x14ac:dyDescent="0.25">
      <c r="A64" s="29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21.98</v>
      </c>
      <c r="Q64" s="2"/>
      <c r="R64" s="7">
        <f t="shared" si="48"/>
        <v>1.678445669507847E-5</v>
      </c>
      <c r="S64" s="2"/>
      <c r="T64" s="6"/>
      <c r="U64" s="2"/>
      <c r="V64" s="7">
        <f t="shared" si="49"/>
        <v>0</v>
      </c>
      <c r="W64" s="2"/>
      <c r="X64" s="6">
        <f t="shared" si="50"/>
        <v>21.98</v>
      </c>
      <c r="Y64" s="2"/>
      <c r="Z64" s="7">
        <f t="shared" si="51"/>
        <v>0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1375.08</v>
      </c>
      <c r="U65" s="2"/>
      <c r="V65" s="7">
        <f t="shared" si="49"/>
        <v>5.7771324571088627E-2</v>
      </c>
      <c r="W65" s="2"/>
      <c r="X65" s="6">
        <f t="shared" si="50"/>
        <v>-1375.08</v>
      </c>
      <c r="Y65" s="2"/>
      <c r="Z65" s="7">
        <f t="shared" si="51"/>
        <v>-1</v>
      </c>
    </row>
    <row r="66" spans="1:26" s="24" customFormat="1" hidden="1" outlineLevel="2" x14ac:dyDescent="0.25">
      <c r="A66" s="29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>
        <v>5452.04</v>
      </c>
      <c r="Q66" s="2"/>
      <c r="R66" s="7">
        <f t="shared" si="48"/>
        <v>4.1633088844329211E-3</v>
      </c>
      <c r="S66" s="2"/>
      <c r="T66" s="6">
        <v>2550.9899999999998</v>
      </c>
      <c r="U66" s="2"/>
      <c r="V66" s="7">
        <f t="shared" si="49"/>
        <v>0.10717490710911465</v>
      </c>
      <c r="W66" s="2"/>
      <c r="X66" s="6">
        <f t="shared" si="50"/>
        <v>2901.05</v>
      </c>
      <c r="Y66" s="2"/>
      <c r="Z66" s="7">
        <f t="shared" si="51"/>
        <v>1.1372251557238564</v>
      </c>
    </row>
    <row r="67" spans="1:26" s="24" customFormat="1" hidden="1" outlineLevel="2" x14ac:dyDescent="0.25">
      <c r="A67" s="29"/>
      <c r="B67" s="11" t="str">
        <f>CONCATENATE("          ", "6239", " - ", "KITCHEN SUPPLIES")</f>
        <v xml:space="preserve">          6239 - KITCHEN SUPPLIES</v>
      </c>
      <c r="C67" s="11"/>
      <c r="D67" s="6">
        <v>2456.84</v>
      </c>
      <c r="E67" s="2"/>
      <c r="F67" s="7">
        <f t="shared" si="44"/>
        <v>4.7150922891168144E-3</v>
      </c>
      <c r="G67" s="2"/>
      <c r="H67" s="6"/>
      <c r="I67" s="2"/>
      <c r="J67" s="7">
        <f t="shared" si="45"/>
        <v>0</v>
      </c>
      <c r="K67" s="2"/>
      <c r="L67" s="6">
        <f t="shared" si="46"/>
        <v>2456.84</v>
      </c>
      <c r="M67" s="2"/>
      <c r="N67" s="7">
        <f t="shared" si="47"/>
        <v>0</v>
      </c>
      <c r="O67" s="11"/>
      <c r="P67" s="6">
        <v>5556.93</v>
      </c>
      <c r="Q67" s="2"/>
      <c r="R67" s="7">
        <f t="shared" si="48"/>
        <v>4.2434054114004732E-3</v>
      </c>
      <c r="S67" s="2"/>
      <c r="T67" s="6">
        <v>1031.07</v>
      </c>
      <c r="U67" s="2"/>
      <c r="V67" s="7">
        <f t="shared" si="49"/>
        <v>4.3318410292864672E-2</v>
      </c>
      <c r="W67" s="2"/>
      <c r="X67" s="6">
        <f t="shared" si="50"/>
        <v>4525.8600000000006</v>
      </c>
      <c r="Y67" s="2"/>
      <c r="Z67" s="7">
        <f t="shared" si="51"/>
        <v>4.3894788908609508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6">
        <v>1034.02</v>
      </c>
      <c r="E68" s="2"/>
      <c r="F68" s="7">
        <f t="shared" si="44"/>
        <v>1.9844596020874654E-3</v>
      </c>
      <c r="G68" s="2"/>
      <c r="H68" s="6"/>
      <c r="I68" s="2"/>
      <c r="J68" s="7">
        <f t="shared" si="45"/>
        <v>0</v>
      </c>
      <c r="K68" s="2"/>
      <c r="L68" s="6">
        <f t="shared" si="46"/>
        <v>1034.02</v>
      </c>
      <c r="M68" s="2"/>
      <c r="N68" s="7">
        <f t="shared" si="47"/>
        <v>0</v>
      </c>
      <c r="O68" s="11"/>
      <c r="P68" s="6">
        <v>2757.76</v>
      </c>
      <c r="Q68" s="2"/>
      <c r="R68" s="7">
        <f t="shared" si="48"/>
        <v>2.1058918696733211E-3</v>
      </c>
      <c r="S68" s="2"/>
      <c r="T68" s="6">
        <v>19.7</v>
      </c>
      <c r="U68" s="2"/>
      <c r="V68" s="7">
        <f t="shared" si="49"/>
        <v>8.2765736833525757E-4</v>
      </c>
      <c r="W68" s="2"/>
      <c r="X68" s="6">
        <f t="shared" si="50"/>
        <v>2738.0600000000004</v>
      </c>
      <c r="Y68" s="2"/>
      <c r="Z68" s="7">
        <f t="shared" si="51"/>
        <v>138.98781725888327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6">
        <v>15068.61</v>
      </c>
      <c r="E69" s="2"/>
      <c r="F69" s="7">
        <f t="shared" si="44"/>
        <v>2.8919216073781166E-2</v>
      </c>
      <c r="G69" s="2"/>
      <c r="H69" s="6"/>
      <c r="I69" s="2"/>
      <c r="J69" s="7">
        <f t="shared" si="45"/>
        <v>0</v>
      </c>
      <c r="K69" s="2"/>
      <c r="L69" s="6">
        <f t="shared" si="46"/>
        <v>15068.61</v>
      </c>
      <c r="M69" s="2"/>
      <c r="N69" s="7">
        <f t="shared" si="47"/>
        <v>0</v>
      </c>
      <c r="O69" s="11"/>
      <c r="P69" s="6">
        <v>19410.900000000001</v>
      </c>
      <c r="Q69" s="2"/>
      <c r="R69" s="7">
        <f t="shared" si="48"/>
        <v>1.4822630139331149E-2</v>
      </c>
      <c r="S69" s="2"/>
      <c r="T69" s="6">
        <v>3009.55</v>
      </c>
      <c r="U69" s="2"/>
      <c r="V69" s="7">
        <f t="shared" si="49"/>
        <v>0.12644041791235403</v>
      </c>
      <c r="W69" s="2"/>
      <c r="X69" s="6">
        <f t="shared" si="50"/>
        <v>16401.350000000002</v>
      </c>
      <c r="Y69" s="2"/>
      <c r="Z69" s="7">
        <f t="shared" si="51"/>
        <v>5.4497682377764125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6">
        <v>80.59</v>
      </c>
      <c r="E70" s="2"/>
      <c r="F70" s="7">
        <f t="shared" si="44"/>
        <v>1.5466586655212553E-4</v>
      </c>
      <c r="G70" s="2"/>
      <c r="H70" s="6"/>
      <c r="I70" s="2"/>
      <c r="J70" s="7">
        <f t="shared" si="45"/>
        <v>0</v>
      </c>
      <c r="K70" s="2"/>
      <c r="L70" s="6">
        <f t="shared" si="46"/>
        <v>80.59</v>
      </c>
      <c r="M70" s="2"/>
      <c r="N70" s="7">
        <f t="shared" si="47"/>
        <v>0</v>
      </c>
      <c r="O70" s="11"/>
      <c r="P70" s="6">
        <v>207.93</v>
      </c>
      <c r="Q70" s="2"/>
      <c r="R70" s="7">
        <f t="shared" si="48"/>
        <v>1.5878034943619956E-4</v>
      </c>
      <c r="S70" s="2"/>
      <c r="T70" s="6"/>
      <c r="U70" s="2"/>
      <c r="V70" s="7">
        <f t="shared" si="49"/>
        <v>0</v>
      </c>
      <c r="W70" s="2"/>
      <c r="X70" s="6">
        <f t="shared" si="50"/>
        <v>207.93</v>
      </c>
      <c r="Y70" s="2"/>
      <c r="Z70" s="7">
        <f t="shared" si="51"/>
        <v>0</v>
      </c>
    </row>
    <row r="71" spans="1:26" s="24" customFormat="1" hidden="1" outlineLevel="2" x14ac:dyDescent="0.25">
      <c r="A71" s="29"/>
      <c r="B71" s="11" t="str">
        <f>CONCATENATE("          ", "6248", " - ", "UNIFORMS")</f>
        <v xml:space="preserve">          6248 - UNIFORMS</v>
      </c>
      <c r="C71" s="11"/>
      <c r="D71" s="6">
        <v>1870.4</v>
      </c>
      <c r="E71" s="2"/>
      <c r="F71" s="7">
        <f t="shared" si="44"/>
        <v>3.5896145526628067E-3</v>
      </c>
      <c r="G71" s="2"/>
      <c r="H71" s="6"/>
      <c r="I71" s="2"/>
      <c r="J71" s="7">
        <f t="shared" si="45"/>
        <v>0</v>
      </c>
      <c r="K71" s="2"/>
      <c r="L71" s="6">
        <f t="shared" si="46"/>
        <v>1870.4</v>
      </c>
      <c r="M71" s="2"/>
      <c r="N71" s="7">
        <f t="shared" si="47"/>
        <v>0</v>
      </c>
      <c r="O71" s="11"/>
      <c r="P71" s="6">
        <v>1870.4</v>
      </c>
      <c r="Q71" s="2"/>
      <c r="R71" s="7">
        <f t="shared" si="48"/>
        <v>1.4282824295939384E-3</v>
      </c>
      <c r="S71" s="2"/>
      <c r="T71" s="6"/>
      <c r="U71" s="2"/>
      <c r="V71" s="7">
        <f t="shared" si="49"/>
        <v>0</v>
      </c>
      <c r="W71" s="2"/>
      <c r="X71" s="6">
        <f t="shared" si="50"/>
        <v>1870.4</v>
      </c>
      <c r="Y71" s="2"/>
      <c r="Z71" s="7">
        <f t="shared" si="51"/>
        <v>0</v>
      </c>
    </row>
    <row r="72" spans="1:26" s="28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SUM(OSRRefD22_13x_0)</f>
        <v>389</v>
      </c>
      <c r="E72" s="1"/>
      <c r="F72" s="5">
        <f t="shared" ref="F72:F73" si="52">IF(D$12=0,0,D72/D$12)</f>
        <v>7.4655691883331466E-4</v>
      </c>
      <c r="G72" s="1"/>
      <c r="H72" s="1">
        <f>SUM(OSRRefH22_13x_0)</f>
        <v>139</v>
      </c>
      <c r="I72" s="1"/>
      <c r="J72" s="5">
        <f t="shared" ref="J72:J73" si="53">IF(H$12=0,0,H72/H$12)</f>
        <v>-5.7692986151608042E-3</v>
      </c>
      <c r="K72" s="1"/>
      <c r="L72" s="1">
        <f t="shared" ref="L72:L73" si="54">+D72-H72</f>
        <v>250</v>
      </c>
      <c r="M72" s="1"/>
      <c r="N72" s="5">
        <f t="shared" ref="N72:N73" si="55">IF(H72=0,0,L72/H72)</f>
        <v>1.7985611510791366</v>
      </c>
      <c r="O72" s="14"/>
      <c r="P72" s="1">
        <f>SUM(OSRRefP22_13x_0)</f>
        <v>956</v>
      </c>
      <c r="Q72" s="1"/>
      <c r="R72" s="5">
        <f t="shared" ref="R72:R73" si="56">IF(P$12=0,0,P72/P$12)</f>
        <v>7.3002459510896343E-4</v>
      </c>
      <c r="S72" s="1"/>
      <c r="T72" s="1">
        <f>SUM(OSRRefT22_13x_0)</f>
        <v>642</v>
      </c>
      <c r="U72" s="1"/>
      <c r="V72" s="5">
        <f t="shared" ref="V72:V73" si="57">IF(T$12=0,0,T72/T$12)</f>
        <v>2.6972387333565245E-2</v>
      </c>
      <c r="W72" s="1"/>
      <c r="X72" s="1">
        <f t="shared" ref="X72:X73" si="58">+P72-T72</f>
        <v>314</v>
      </c>
      <c r="Y72" s="1"/>
      <c r="Z72" s="5">
        <f t="shared" ref="Z72:Z73" si="59">IF(T72=0,0,X72/T72)</f>
        <v>0.48909657320872274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6">
        <v>389</v>
      </c>
      <c r="E73" s="2"/>
      <c r="F73" s="7">
        <f t="shared" si="52"/>
        <v>7.4655691883331466E-4</v>
      </c>
      <c r="G73" s="2"/>
      <c r="H73" s="6">
        <v>139</v>
      </c>
      <c r="I73" s="2"/>
      <c r="J73" s="7">
        <f t="shared" si="53"/>
        <v>-5.7692986151608042E-3</v>
      </c>
      <c r="K73" s="2"/>
      <c r="L73" s="6">
        <f t="shared" si="54"/>
        <v>250</v>
      </c>
      <c r="M73" s="2"/>
      <c r="N73" s="7">
        <f t="shared" si="55"/>
        <v>1.7985611510791366</v>
      </c>
      <c r="O73" s="11"/>
      <c r="P73" s="6">
        <v>956</v>
      </c>
      <c r="Q73" s="2"/>
      <c r="R73" s="7">
        <f t="shared" si="56"/>
        <v>7.3002459510896343E-4</v>
      </c>
      <c r="S73" s="2"/>
      <c r="T73" s="6">
        <v>642</v>
      </c>
      <c r="U73" s="2"/>
      <c r="V73" s="7">
        <f t="shared" si="57"/>
        <v>2.6972387333565245E-2</v>
      </c>
      <c r="W73" s="2"/>
      <c r="X73" s="6">
        <f t="shared" si="58"/>
        <v>314</v>
      </c>
      <c r="Y73" s="2"/>
      <c r="Z73" s="7">
        <f t="shared" si="59"/>
        <v>0.48909657320872274</v>
      </c>
    </row>
    <row r="74" spans="1:26" s="56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292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276</v>
      </c>
      <c r="C77" s="26"/>
      <c r="D77" s="22">
        <f>+D21-D23+D75</f>
        <v>147243.65000000002</v>
      </c>
      <c r="E77" s="13"/>
      <c r="F77" s="20">
        <f>IF(D$12=0,0,D77/D$12)</f>
        <v>0.28258551584002828</v>
      </c>
      <c r="G77" s="13"/>
      <c r="H77" s="22">
        <f>+H21-H23+H75</f>
        <v>-80190.409999999989</v>
      </c>
      <c r="I77" s="13"/>
      <c r="J77" s="20">
        <f>IF(H$12=0,0,H77/H$12)</f>
        <v>3.3283627436127841</v>
      </c>
      <c r="K77" s="15"/>
      <c r="L77" s="22">
        <f>+D77-H77</f>
        <v>227434.06</v>
      </c>
      <c r="M77" s="15"/>
      <c r="N77" s="20">
        <f>IF(H77=0,0,L77/H77)</f>
        <v>-2.8361752982682096</v>
      </c>
      <c r="O77" s="25"/>
      <c r="P77" s="22">
        <f>+P21-P23+P75</f>
        <v>455324.8800000003</v>
      </c>
      <c r="Q77" s="13"/>
      <c r="R77" s="20">
        <f>IF(P$12=0,0,P77/P$12)</f>
        <v>0.34769703050736145</v>
      </c>
      <c r="S77" s="13"/>
      <c r="T77" s="22">
        <f>+T21-T23+T75</f>
        <v>-222827.09000000003</v>
      </c>
      <c r="U77" s="13"/>
      <c r="V77" s="20">
        <f>IF(T$12=0,0,T77/T$12)</f>
        <v>-9.3616488783352079</v>
      </c>
      <c r="W77" s="15"/>
      <c r="X77" s="22">
        <f>+P77-T77</f>
        <v>678151.97000000032</v>
      </c>
      <c r="Y77" s="15"/>
      <c r="Z77" s="20">
        <f>IF(T77=0,0,X77/T77)</f>
        <v>-3.0434000192705484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127</v>
      </c>
      <c r="C79" s="10"/>
      <c r="D79" s="4">
        <v>53777.2</v>
      </c>
      <c r="E79" s="4"/>
      <c r="F79" s="12">
        <f>IF(D$12=0,0,D79/D$12)</f>
        <v>0.10320755973131858</v>
      </c>
      <c r="G79" s="4"/>
      <c r="H79" s="4">
        <v>-3716.77</v>
      </c>
      <c r="I79" s="4"/>
      <c r="J79" s="12">
        <f>IF(H$12=0,0,H79/H$12)</f>
        <v>0.15426730945231093</v>
      </c>
      <c r="K79" s="4"/>
      <c r="L79" s="4">
        <f>+D79-H79</f>
        <v>57493.969999999994</v>
      </c>
      <c r="M79" s="4"/>
      <c r="N79" s="12">
        <f>IF(H79=0,0,L79/H79)</f>
        <v>-15.468799522165749</v>
      </c>
      <c r="O79" s="10"/>
      <c r="P79" s="4">
        <v>151372.57</v>
      </c>
      <c r="Q79" s="4"/>
      <c r="R79" s="12">
        <f>IF(P$12=0,0,P79/P$12)</f>
        <v>0.11559173548624814</v>
      </c>
      <c r="S79" s="4"/>
      <c r="T79" s="4">
        <v>5156.05</v>
      </c>
      <c r="U79" s="4"/>
      <c r="V79" s="12">
        <f>IF(T$12=0,0,T79/T$12)</f>
        <v>0.21662146060939111</v>
      </c>
      <c r="W79" s="4"/>
      <c r="X79" s="4">
        <f>+P79-T79</f>
        <v>146216.52000000002</v>
      </c>
      <c r="Y79" s="4"/>
      <c r="Z79" s="12">
        <f>IF(T79=0,0,X79/T79)</f>
        <v>28.358243228828272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125</v>
      </c>
      <c r="C81" s="26"/>
      <c r="D81" s="33">
        <f>+D77-D79</f>
        <v>93466.450000000026</v>
      </c>
      <c r="E81" s="13"/>
      <c r="F81" s="31">
        <f>IF(D$12=0,0,D81/D$12)</f>
        <v>0.17937795610870971</v>
      </c>
      <c r="G81" s="13"/>
      <c r="H81" s="33">
        <f>+H77-H79</f>
        <v>-76473.639999999985</v>
      </c>
      <c r="I81" s="13"/>
      <c r="J81" s="31">
        <f>IF(H$12=0,0,H81/H$12)</f>
        <v>3.1740954341604732</v>
      </c>
      <c r="K81" s="15"/>
      <c r="L81" s="33">
        <f>D81-H81</f>
        <v>169940.09000000003</v>
      </c>
      <c r="M81" s="15"/>
      <c r="N81" s="31">
        <f>IF(H81=0,0,L81/H81)</f>
        <v>-2.2222048015499203</v>
      </c>
      <c r="O81" s="25"/>
      <c r="P81" s="33">
        <f>+P77-P79</f>
        <v>303952.31000000029</v>
      </c>
      <c r="Q81" s="13"/>
      <c r="R81" s="31">
        <f>IF(P$12=0,0,P81/P$12)</f>
        <v>0.23210529502111332</v>
      </c>
      <c r="S81" s="13"/>
      <c r="T81" s="33">
        <f>+T77-T79</f>
        <v>-227983.14</v>
      </c>
      <c r="U81" s="13"/>
      <c r="V81" s="31">
        <f>IF(T$12=0,0,T81/T$12)</f>
        <v>-9.5782703389445984</v>
      </c>
      <c r="W81" s="15"/>
      <c r="X81" s="33">
        <f>P81-T81</f>
        <v>531935.4500000003</v>
      </c>
      <c r="Y81" s="15"/>
      <c r="Z81" s="31">
        <f>IF(T81=0,0,X81/T81)</f>
        <v>-2.3332227549809179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293</v>
      </c>
      <c r="C84" s="26"/>
      <c r="D84" s="34">
        <f>SUM(D81:D83)</f>
        <v>93466.450000000026</v>
      </c>
      <c r="E84" s="13"/>
      <c r="F84" s="30">
        <f>IF(D$12=0,0,D84/D$12)</f>
        <v>0.17937795610870971</v>
      </c>
      <c r="G84" s="13"/>
      <c r="H84" s="34">
        <f>SUM(H81:H83)</f>
        <v>-76473.639999999985</v>
      </c>
      <c r="I84" s="13"/>
      <c r="J84" s="30">
        <f>IF(H$12=0,0,H84/H$12)</f>
        <v>3.1740954341604732</v>
      </c>
      <c r="K84" s="15"/>
      <c r="L84" s="34">
        <f>+D84-H84</f>
        <v>169940.09000000003</v>
      </c>
      <c r="M84" s="15"/>
      <c r="N84" s="30">
        <f>IF(H84=0,0,L84/H84)</f>
        <v>-2.2222048015499203</v>
      </c>
      <c r="O84" s="25"/>
      <c r="P84" s="34">
        <f>SUM(P81:P83)</f>
        <v>303952.31000000029</v>
      </c>
      <c r="Q84" s="13"/>
      <c r="R84" s="30">
        <f>IF(P$12=0,0,P84/P$12)</f>
        <v>0.23210529502111332</v>
      </c>
      <c r="S84" s="13"/>
      <c r="T84" s="34">
        <f>SUM(T81:T83)</f>
        <v>-227983.14</v>
      </c>
      <c r="U84" s="13"/>
      <c r="V84" s="30">
        <f>IF(T$12=0,0,T84/T$12)</f>
        <v>-9.5782703389445984</v>
      </c>
      <c r="W84" s="15"/>
      <c r="X84" s="34">
        <f>+P84-T84</f>
        <v>531935.4500000003</v>
      </c>
      <c r="Y84" s="15"/>
      <c r="Z84" s="30">
        <f>IF(T84=0,0,X84/T84)</f>
        <v>-2.3332227549809179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61">
        <v>44517.967041516204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7" t="s">
        <v>56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8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138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5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107</v>
      </c>
      <c r="C16" s="26"/>
      <c r="D16" s="22">
        <f>D12-D14</f>
        <v>0</v>
      </c>
      <c r="E16" s="13"/>
      <c r="F16" s="20">
        <f>IF(D$12=0,0,D16/D$12)</f>
        <v>0</v>
      </c>
      <c r="G16" s="13"/>
      <c r="H16" s="22">
        <f>H12-H14</f>
        <v>0</v>
      </c>
      <c r="I16" s="13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5"/>
      <c r="P16" s="22">
        <f>P12-P14</f>
        <v>0</v>
      </c>
      <c r="Q16" s="13"/>
      <c r="R16" s="20">
        <f>IF(P$12=0,0,P16/P$12)</f>
        <v>0</v>
      </c>
      <c r="S16" s="13"/>
      <c r="T16" s="22">
        <f>T12-T14</f>
        <v>0</v>
      </c>
      <c r="U16" s="13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294</v>
      </c>
      <c r="C18" s="10"/>
      <c r="D18" s="21">
        <f>SUM(OSRRefD22x_0)</f>
        <v>0</v>
      </c>
      <c r="E18" s="21"/>
      <c r="F18" s="36">
        <f t="shared" ref="F18:F20" si="0">IF(D$12=0,0,D18/D$12)</f>
        <v>0</v>
      </c>
      <c r="G18" s="21"/>
      <c r="H18" s="21">
        <f>SUM(OSRRefH22x_0)</f>
        <v>27.69</v>
      </c>
      <c r="I18" s="21"/>
      <c r="J18" s="36">
        <f t="shared" ref="J18:J20" si="1">IF(H$12=0,0,H18/H$12)</f>
        <v>0</v>
      </c>
      <c r="K18" s="4"/>
      <c r="L18" s="21">
        <f t="shared" ref="L18:L20" si="2">+D18-H18</f>
        <v>-27.69</v>
      </c>
      <c r="M18" s="4"/>
      <c r="N18" s="36">
        <f t="shared" ref="N18:N20" si="3">IF(H18=0,0,L18/H18)</f>
        <v>-1</v>
      </c>
      <c r="O18" s="10"/>
      <c r="P18" s="21">
        <f>SUM(OSRRefP22x_0)</f>
        <v>0</v>
      </c>
      <c r="Q18" s="21"/>
      <c r="R18" s="36">
        <f t="shared" ref="R18:R20" si="4">IF(P$12=0,0,P18/P$12)</f>
        <v>0</v>
      </c>
      <c r="S18" s="21"/>
      <c r="T18" s="21">
        <f>SUM(OSRRefT22x_0)</f>
        <v>178.69</v>
      </c>
      <c r="U18" s="21"/>
      <c r="V18" s="36">
        <f t="shared" ref="V18:V20" si="5">IF(T$12=0,0,T18/T$12)</f>
        <v>0</v>
      </c>
      <c r="W18" s="4"/>
      <c r="X18" s="21">
        <f t="shared" ref="X18:X20" si="6">+P18-T18</f>
        <v>-178.69</v>
      </c>
      <c r="Y18" s="4"/>
      <c r="Z18" s="36">
        <f t="shared" ref="Z18:Z20" si="7">IF(T18=0,0,X18/T18)</f>
        <v>-1</v>
      </c>
    </row>
    <row r="19" spans="1:26" s="28" customFormat="1" outlineLevel="1" collapsed="1" x14ac:dyDescent="0.25">
      <c r="A19" s="27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27.69</v>
      </c>
      <c r="I19" s="1"/>
      <c r="J19" s="5">
        <f t="shared" si="1"/>
        <v>0</v>
      </c>
      <c r="K19" s="1"/>
      <c r="L19" s="1">
        <f t="shared" si="2"/>
        <v>-27.69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178.69</v>
      </c>
      <c r="U19" s="1"/>
      <c r="V19" s="5">
        <f t="shared" si="5"/>
        <v>0</v>
      </c>
      <c r="W19" s="1"/>
      <c r="X19" s="1">
        <f t="shared" si="6"/>
        <v>-178.69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>
        <v>27.69</v>
      </c>
      <c r="I20" s="2"/>
      <c r="J20" s="7">
        <f t="shared" si="1"/>
        <v>0</v>
      </c>
      <c r="K20" s="2"/>
      <c r="L20" s="6">
        <f t="shared" si="2"/>
        <v>-27.69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178.69</v>
      </c>
      <c r="U20" s="2"/>
      <c r="V20" s="7">
        <f t="shared" si="5"/>
        <v>0</v>
      </c>
      <c r="W20" s="2"/>
      <c r="X20" s="6">
        <f t="shared" si="6"/>
        <v>-178.69</v>
      </c>
      <c r="Y20" s="2"/>
      <c r="Z20" s="7">
        <f t="shared" si="7"/>
        <v>-1</v>
      </c>
    </row>
    <row r="21" spans="1:26" s="56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292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276</v>
      </c>
      <c r="C24" s="26"/>
      <c r="D24" s="22">
        <f>+D16-D18+D22</f>
        <v>0</v>
      </c>
      <c r="E24" s="13"/>
      <c r="F24" s="20">
        <f>IF(D$12=0,0,D24/D$12)</f>
        <v>0</v>
      </c>
      <c r="G24" s="13"/>
      <c r="H24" s="22">
        <f>+H16-H18+H22</f>
        <v>-27.69</v>
      </c>
      <c r="I24" s="13"/>
      <c r="J24" s="20">
        <f>IF(H$12=0,0,H24/H$12)</f>
        <v>0</v>
      </c>
      <c r="K24" s="15"/>
      <c r="L24" s="22">
        <f>+D24-H24</f>
        <v>27.69</v>
      </c>
      <c r="M24" s="15"/>
      <c r="N24" s="20">
        <f>IF(H24=0,0,L24/H24)</f>
        <v>-1</v>
      </c>
      <c r="O24" s="25"/>
      <c r="P24" s="22">
        <f>+P16-P18+P22</f>
        <v>0</v>
      </c>
      <c r="Q24" s="13"/>
      <c r="R24" s="20">
        <f>IF(P$12=0,0,P24/P$12)</f>
        <v>0</v>
      </c>
      <c r="S24" s="13"/>
      <c r="T24" s="22">
        <f>+T16-T18+T22</f>
        <v>-178.69</v>
      </c>
      <c r="U24" s="13"/>
      <c r="V24" s="20">
        <f>IF(T$12=0,0,T24/T$12)</f>
        <v>0</v>
      </c>
      <c r="W24" s="15"/>
      <c r="X24" s="22">
        <f>+P24-T24</f>
        <v>178.69</v>
      </c>
      <c r="Y24" s="15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125</v>
      </c>
      <c r="C28" s="26"/>
      <c r="D28" s="33">
        <f>+D24-D26</f>
        <v>0</v>
      </c>
      <c r="E28" s="13"/>
      <c r="F28" s="31">
        <f>IF(D$12=0,0,D28/D$12)</f>
        <v>0</v>
      </c>
      <c r="G28" s="13"/>
      <c r="H28" s="33">
        <f>+H24-H26</f>
        <v>-27.69</v>
      </c>
      <c r="I28" s="13"/>
      <c r="J28" s="31">
        <f>IF(H$12=0,0,H28/H$12)</f>
        <v>0</v>
      </c>
      <c r="K28" s="15"/>
      <c r="L28" s="33">
        <f>D28-H28</f>
        <v>27.69</v>
      </c>
      <c r="M28" s="15"/>
      <c r="N28" s="31">
        <f>IF(H28=0,0,L28/H28)</f>
        <v>-1</v>
      </c>
      <c r="O28" s="25"/>
      <c r="P28" s="33">
        <f>+P24-P26</f>
        <v>0</v>
      </c>
      <c r="Q28" s="13"/>
      <c r="R28" s="31">
        <f>IF(P$12=0,0,P28/P$12)</f>
        <v>0</v>
      </c>
      <c r="S28" s="13"/>
      <c r="T28" s="33">
        <f>+T24-T26</f>
        <v>-178.69</v>
      </c>
      <c r="U28" s="13"/>
      <c r="V28" s="31">
        <f>IF(T$12=0,0,T28/T$12)</f>
        <v>0</v>
      </c>
      <c r="W28" s="15"/>
      <c r="X28" s="33">
        <f>P28-T28</f>
        <v>178.69</v>
      </c>
      <c r="Y28" s="15"/>
      <c r="Z28" s="31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293</v>
      </c>
      <c r="C31" s="26"/>
      <c r="D31" s="34">
        <f>SUM(D28:D30)</f>
        <v>0</v>
      </c>
      <c r="E31" s="13"/>
      <c r="F31" s="30">
        <f>IF(D$12=0,0,D31/D$12)</f>
        <v>0</v>
      </c>
      <c r="G31" s="13"/>
      <c r="H31" s="34">
        <f>SUM(H28:H30)</f>
        <v>-27.69</v>
      </c>
      <c r="I31" s="13"/>
      <c r="J31" s="30">
        <f>IF(H$12=0,0,H31/H$12)</f>
        <v>0</v>
      </c>
      <c r="K31" s="15"/>
      <c r="L31" s="34">
        <f>+D31-H31</f>
        <v>27.69</v>
      </c>
      <c r="M31" s="15"/>
      <c r="N31" s="30">
        <f>IF(H31=0,0,L31/H31)</f>
        <v>-1</v>
      </c>
      <c r="O31" s="25"/>
      <c r="P31" s="34">
        <f>SUM(P28:P30)</f>
        <v>0</v>
      </c>
      <c r="Q31" s="13"/>
      <c r="R31" s="30">
        <f>IF(P$12=0,0,P31/P$12)</f>
        <v>0</v>
      </c>
      <c r="S31" s="13"/>
      <c r="T31" s="34">
        <f>SUM(T28:T30)</f>
        <v>-178.69</v>
      </c>
      <c r="U31" s="13"/>
      <c r="V31" s="30">
        <f>IF(T$12=0,0,T31/T$12)</f>
        <v>0</v>
      </c>
      <c r="W31" s="15"/>
      <c r="X31" s="34">
        <f>+P31-T31</f>
        <v>178.69</v>
      </c>
      <c r="Y31" s="15"/>
      <c r="Z31" s="30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1">
        <v>44517.967041516204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7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799980.21</v>
      </c>
      <c r="E12" s="4"/>
      <c r="F12" s="12"/>
      <c r="G12" s="4"/>
      <c r="H12" s="4">
        <f>SUM(OSRRefH13x_0)</f>
        <v>188789</v>
      </c>
      <c r="I12" s="4"/>
      <c r="J12" s="12"/>
      <c r="K12" s="4"/>
      <c r="L12" s="4">
        <f t="shared" ref="L12:L15" si="0">+D12-H12</f>
        <v>611191.21</v>
      </c>
      <c r="M12" s="4"/>
      <c r="N12" s="12">
        <f t="shared" ref="N12:N15" si="1">IF(H12=0,0,L12/H12)</f>
        <v>3.2374301998527453</v>
      </c>
      <c r="O12" s="10"/>
      <c r="P12" s="4">
        <f>SUM(OSRRefP13x_0)</f>
        <v>1740188.6199999999</v>
      </c>
      <c r="Q12" s="4"/>
      <c r="R12" s="12"/>
      <c r="S12" s="4"/>
      <c r="T12" s="4">
        <f>SUM(OSRRefT13x_0)</f>
        <v>419859.68</v>
      </c>
      <c r="U12" s="4"/>
      <c r="V12" s="12"/>
      <c r="W12" s="4"/>
      <c r="X12" s="4">
        <f t="shared" ref="X12:X15" si="2">+P12-T12</f>
        <v>1320328.94</v>
      </c>
      <c r="Y12" s="4"/>
      <c r="Z12" s="12">
        <f t="shared" ref="Z12:Z15" si="3">IF(T12=0,0,X12/T12)</f>
        <v>3.1446909596082193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--195.5</f>
        <v>195.5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195.5</v>
      </c>
      <c r="M13" s="2"/>
      <c r="N13" s="19">
        <f t="shared" si="1"/>
        <v>0</v>
      </c>
      <c r="O13" s="11"/>
      <c r="P13" s="2">
        <f>--394.14</f>
        <v>394.14</v>
      </c>
      <c r="Q13" s="2"/>
      <c r="R13" s="19"/>
      <c r="S13" s="2"/>
      <c r="T13" s="2">
        <f>--184.79</f>
        <v>184.79</v>
      </c>
      <c r="U13" s="2"/>
      <c r="V13" s="19"/>
      <c r="W13" s="2"/>
      <c r="X13" s="2">
        <f t="shared" si="2"/>
        <v>209.35</v>
      </c>
      <c r="Y13" s="2"/>
      <c r="Z13" s="19">
        <f t="shared" si="3"/>
        <v>1.1329076248714758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--796990.21</f>
        <v>796990.21</v>
      </c>
      <c r="E14" s="2"/>
      <c r="F14" s="19"/>
      <c r="G14" s="2"/>
      <c r="H14" s="2">
        <f>--191267.4</f>
        <v>191267.4</v>
      </c>
      <c r="I14" s="2"/>
      <c r="J14" s="19"/>
      <c r="K14" s="2"/>
      <c r="L14" s="2">
        <f t="shared" si="0"/>
        <v>605722.80999999994</v>
      </c>
      <c r="M14" s="2"/>
      <c r="N14" s="19">
        <f t="shared" si="1"/>
        <v>3.1668899666121879</v>
      </c>
      <c r="O14" s="11"/>
      <c r="P14" s="2">
        <f>--1728783.57</f>
        <v>1728783.57</v>
      </c>
      <c r="Q14" s="2"/>
      <c r="R14" s="19"/>
      <c r="S14" s="2"/>
      <c r="T14" s="2">
        <f>--411396.78</f>
        <v>411396.78</v>
      </c>
      <c r="U14" s="2"/>
      <c r="V14" s="19"/>
      <c r="W14" s="2"/>
      <c r="X14" s="2">
        <f t="shared" si="2"/>
        <v>1317386.79</v>
      </c>
      <c r="Y14" s="2"/>
      <c r="Z14" s="19">
        <f t="shared" si="3"/>
        <v>3.2022292201703668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--2794.5</f>
        <v>2794.5</v>
      </c>
      <c r="E15" s="2"/>
      <c r="F15" s="19"/>
      <c r="G15" s="2"/>
      <c r="H15" s="2">
        <f>-2478.4</f>
        <v>-2478.4</v>
      </c>
      <c r="I15" s="2"/>
      <c r="J15" s="19"/>
      <c r="K15" s="2"/>
      <c r="L15" s="2">
        <f t="shared" si="0"/>
        <v>5272.9</v>
      </c>
      <c r="M15" s="2"/>
      <c r="N15" s="19">
        <f t="shared" si="1"/>
        <v>-2.1275419625564878</v>
      </c>
      <c r="O15" s="11"/>
      <c r="P15" s="2">
        <f>--11010.91</f>
        <v>11010.91</v>
      </c>
      <c r="Q15" s="2"/>
      <c r="R15" s="19"/>
      <c r="S15" s="2"/>
      <c r="T15" s="2">
        <f>--8278.11</f>
        <v>8278.11</v>
      </c>
      <c r="U15" s="2"/>
      <c r="V15" s="19"/>
      <c r="W15" s="2"/>
      <c r="X15" s="2">
        <f t="shared" si="2"/>
        <v>2732.7999999999993</v>
      </c>
      <c r="Y15" s="2"/>
      <c r="Z15" s="19">
        <f t="shared" si="3"/>
        <v>0.33012366349323685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256</v>
      </c>
      <c r="C17" s="10"/>
      <c r="D17" s="4">
        <f>SUM(OSRRefD16x_0)</f>
        <v>222191.58</v>
      </c>
      <c r="E17" s="4"/>
      <c r="F17" s="12">
        <f t="shared" ref="F17:F19" si="4">IF(D$12=0,0,D17/D$12)</f>
        <v>0.277746345750228</v>
      </c>
      <c r="G17" s="4"/>
      <c r="H17" s="4">
        <f>SUM(OSRRefH16x_0)</f>
        <v>73379.929999999993</v>
      </c>
      <c r="I17" s="4"/>
      <c r="J17" s="12">
        <f t="shared" ref="J17:J19" si="5">IF(H$12=0,0,H17/H$12)</f>
        <v>0.38868752946411067</v>
      </c>
      <c r="K17" s="4"/>
      <c r="L17" s="4">
        <f t="shared" ref="L17:L19" si="6">+D17-H17</f>
        <v>148811.65</v>
      </c>
      <c r="M17" s="4"/>
      <c r="N17" s="12">
        <f t="shared" ref="N17:N19" si="7">IF(H17=0,0,L17/H17)</f>
        <v>2.0279611877525641</v>
      </c>
      <c r="O17" s="10"/>
      <c r="P17" s="4">
        <f>SUM(OSRRefP16x_0)</f>
        <v>494499.23</v>
      </c>
      <c r="Q17" s="4"/>
      <c r="R17" s="12">
        <f t="shared" ref="R17:R19" si="8">IF(P$12=0,0,P17/P$12)</f>
        <v>0.28416415572238374</v>
      </c>
      <c r="S17" s="4"/>
      <c r="T17" s="4">
        <f>SUM(OSRRefT16x_0)</f>
        <v>149671.85</v>
      </c>
      <c r="U17" s="4"/>
      <c r="V17" s="12">
        <f t="shared" ref="V17:V19" si="9">IF(T$12=0,0,T17/T$12)</f>
        <v>0.35648064610538455</v>
      </c>
      <c r="W17" s="4"/>
      <c r="X17" s="4">
        <f t="shared" ref="X17:X19" si="10">+P17-T17</f>
        <v>344827.38</v>
      </c>
      <c r="Y17" s="4"/>
      <c r="Z17" s="12">
        <f t="shared" ref="Z17:Z19" si="11">IF(T17=0,0,X17/T17)</f>
        <v>2.3038893419170003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220442.58</v>
      </c>
      <c r="E18" s="2"/>
      <c r="F18" s="19">
        <f t="shared" si="4"/>
        <v>0.2755600416665307</v>
      </c>
      <c r="G18" s="2"/>
      <c r="H18" s="2">
        <v>60766.03</v>
      </c>
      <c r="I18" s="2"/>
      <c r="J18" s="19">
        <f t="shared" si="5"/>
        <v>0.32187272563549785</v>
      </c>
      <c r="K18" s="2"/>
      <c r="L18" s="2">
        <f t="shared" si="6"/>
        <v>159676.54999999999</v>
      </c>
      <c r="M18" s="2"/>
      <c r="N18" s="19">
        <f t="shared" si="7"/>
        <v>2.6277272021884595</v>
      </c>
      <c r="O18" s="11"/>
      <c r="P18" s="2">
        <v>506217.23</v>
      </c>
      <c r="Q18" s="2"/>
      <c r="R18" s="19">
        <f t="shared" si="8"/>
        <v>0.29089790852672054</v>
      </c>
      <c r="S18" s="2"/>
      <c r="T18" s="2">
        <v>171496.53</v>
      </c>
      <c r="U18" s="2"/>
      <c r="V18" s="19">
        <f t="shared" si="9"/>
        <v>0.40846153648285544</v>
      </c>
      <c r="W18" s="2"/>
      <c r="X18" s="2">
        <f t="shared" si="10"/>
        <v>334720.69999999995</v>
      </c>
      <c r="Y18" s="2"/>
      <c r="Z18" s="19">
        <f t="shared" si="11"/>
        <v>1.9517636887463552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1749</v>
      </c>
      <c r="E19" s="2"/>
      <c r="F19" s="19">
        <f t="shared" si="4"/>
        <v>2.1863040836972705E-3</v>
      </c>
      <c r="G19" s="2"/>
      <c r="H19" s="2">
        <v>12613.9</v>
      </c>
      <c r="I19" s="2"/>
      <c r="J19" s="19">
        <f t="shared" si="5"/>
        <v>6.6814803828612893E-2</v>
      </c>
      <c r="K19" s="2"/>
      <c r="L19" s="2">
        <f t="shared" si="6"/>
        <v>-10864.9</v>
      </c>
      <c r="M19" s="2"/>
      <c r="N19" s="19">
        <f t="shared" si="7"/>
        <v>-0.86134343858758988</v>
      </c>
      <c r="O19" s="11"/>
      <c r="P19" s="2">
        <v>-11718</v>
      </c>
      <c r="Q19" s="2"/>
      <c r="R19" s="19">
        <f t="shared" si="8"/>
        <v>-6.7337528043368089E-3</v>
      </c>
      <c r="S19" s="2"/>
      <c r="T19" s="2">
        <v>-21824.68</v>
      </c>
      <c r="U19" s="2"/>
      <c r="V19" s="19">
        <f t="shared" si="9"/>
        <v>-5.1980890377470876E-2</v>
      </c>
      <c r="W19" s="2"/>
      <c r="X19" s="2">
        <f t="shared" si="10"/>
        <v>10106.68</v>
      </c>
      <c r="Y19" s="2"/>
      <c r="Z19" s="19">
        <f t="shared" si="11"/>
        <v>-0.46308491121061113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107</v>
      </c>
      <c r="C21" s="26"/>
      <c r="D21" s="22">
        <f>D12-D17</f>
        <v>577788.63</v>
      </c>
      <c r="E21" s="13"/>
      <c r="F21" s="20">
        <f>IF(D$12=0,0,D21/D$12)</f>
        <v>0.72225365424977206</v>
      </c>
      <c r="G21" s="13"/>
      <c r="H21" s="22">
        <f>H12-H17</f>
        <v>115409.07</v>
      </c>
      <c r="I21" s="13"/>
      <c r="J21" s="20">
        <f>IF(H$12=0,0,H21/H$12)</f>
        <v>0.61131247053588933</v>
      </c>
      <c r="K21" s="15"/>
      <c r="L21" s="22">
        <f>+D21-H21</f>
        <v>462379.56</v>
      </c>
      <c r="M21" s="15"/>
      <c r="N21" s="20">
        <f>IF(H21=0,0,L21/H21)</f>
        <v>4.006440395022679</v>
      </c>
      <c r="O21" s="25"/>
      <c r="P21" s="22">
        <f>P12-P17</f>
        <v>1245689.3899999999</v>
      </c>
      <c r="Q21" s="13"/>
      <c r="R21" s="20">
        <f>IF(P$12=0,0,P21/P$12)</f>
        <v>0.71583584427761626</v>
      </c>
      <c r="S21" s="13"/>
      <c r="T21" s="22">
        <f>T12-T17</f>
        <v>270187.82999999996</v>
      </c>
      <c r="U21" s="13"/>
      <c r="V21" s="20">
        <f>IF(T$12=0,0,T21/T$12)</f>
        <v>0.64351935389461534</v>
      </c>
      <c r="W21" s="15"/>
      <c r="X21" s="22">
        <f>+P21-T21</f>
        <v>975501.55999999994</v>
      </c>
      <c r="Y21" s="15"/>
      <c r="Z21" s="20">
        <f>IF(T21=0,0,X21/T21)</f>
        <v>3.6104570661084181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294</v>
      </c>
      <c r="C23" s="10"/>
      <c r="D23" s="21">
        <f>SUM(OSRRefD22x_0)</f>
        <v>308528.07999999996</v>
      </c>
      <c r="E23" s="21"/>
      <c r="F23" s="36">
        <f t="shared" ref="F23:F33" si="12">IF(D$12=0,0,D23/D$12)</f>
        <v>0.38566964050273189</v>
      </c>
      <c r="G23" s="21"/>
      <c r="H23" s="21">
        <f>SUM(OSRRefH22x_0)</f>
        <v>163912.78000000003</v>
      </c>
      <c r="I23" s="21"/>
      <c r="J23" s="36">
        <f t="shared" ref="J23:J33" si="13">IF(H$12=0,0,H23/H$12)</f>
        <v>0.86823268304827095</v>
      </c>
      <c r="K23" s="4"/>
      <c r="L23" s="21">
        <f t="shared" ref="L23:L33" si="14">+D23-H23</f>
        <v>144615.29999999993</v>
      </c>
      <c r="M23" s="4"/>
      <c r="N23" s="36">
        <f t="shared" ref="N23:N33" si="15">IF(H23=0,0,L23/H23)</f>
        <v>0.88226982667245291</v>
      </c>
      <c r="O23" s="10"/>
      <c r="P23" s="21">
        <f>SUM(OSRRefP22x_0)</f>
        <v>731042.87000000023</v>
      </c>
      <c r="Q23" s="21"/>
      <c r="R23" s="36">
        <f t="shared" ref="R23:R33" si="16">IF(P$12=0,0,P23/P$12)</f>
        <v>0.42009404129995992</v>
      </c>
      <c r="S23" s="21"/>
      <c r="T23" s="21">
        <f>SUM(OSRRefT22x_0)</f>
        <v>457397.20999999996</v>
      </c>
      <c r="U23" s="21"/>
      <c r="V23" s="36">
        <f t="shared" ref="V23:V33" si="17">IF(T$12=0,0,T23/T$12)</f>
        <v>1.0894049411936864</v>
      </c>
      <c r="W23" s="4"/>
      <c r="X23" s="21">
        <f t="shared" ref="X23:X33" si="18">+P23-T23</f>
        <v>273645.66000000027</v>
      </c>
      <c r="Y23" s="4"/>
      <c r="Z23" s="36">
        <f t="shared" ref="Z23:Z33" si="19">IF(T23=0,0,X23/T23)</f>
        <v>0.5982670073566918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37651.439999999995</v>
      </c>
      <c r="E24" s="1"/>
      <c r="F24" s="5">
        <f t="shared" si="12"/>
        <v>4.7065464281922667E-2</v>
      </c>
      <c r="G24" s="1"/>
      <c r="H24" s="1">
        <f>SUM(OSRRefH22_0x_0)</f>
        <v>34871.670000000006</v>
      </c>
      <c r="I24" s="1"/>
      <c r="J24" s="5">
        <f t="shared" si="13"/>
        <v>0.18471240379471265</v>
      </c>
      <c r="K24" s="1"/>
      <c r="L24" s="1">
        <f t="shared" si="14"/>
        <v>2779.7699999999895</v>
      </c>
      <c r="M24" s="1"/>
      <c r="N24" s="5">
        <f t="shared" si="15"/>
        <v>7.9714278094510219E-2</v>
      </c>
      <c r="O24" s="14"/>
      <c r="P24" s="1">
        <f>SUM(OSRRefP22_0x_0)</f>
        <v>126081.63999999998</v>
      </c>
      <c r="Q24" s="1"/>
      <c r="R24" s="5">
        <f t="shared" si="16"/>
        <v>7.2452858587249008E-2</v>
      </c>
      <c r="S24" s="1"/>
      <c r="T24" s="1">
        <f>SUM(OSRRefT22_0x_0)</f>
        <v>120630.6</v>
      </c>
      <c r="U24" s="1"/>
      <c r="V24" s="5">
        <f t="shared" si="17"/>
        <v>0.28731170375778881</v>
      </c>
      <c r="W24" s="1"/>
      <c r="X24" s="1">
        <f t="shared" si="18"/>
        <v>5451.039999999979</v>
      </c>
      <c r="Y24" s="1"/>
      <c r="Z24" s="5">
        <f t="shared" si="19"/>
        <v>4.5187871070855812E-2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6">
        <v>7863.4</v>
      </c>
      <c r="E25" s="2"/>
      <c r="F25" s="7">
        <f t="shared" si="12"/>
        <v>9.8294931570869735E-3</v>
      </c>
      <c r="G25" s="2"/>
      <c r="H25" s="6">
        <v>5835.36</v>
      </c>
      <c r="I25" s="2"/>
      <c r="J25" s="7">
        <f t="shared" si="13"/>
        <v>3.0909427985740694E-2</v>
      </c>
      <c r="K25" s="2"/>
      <c r="L25" s="6">
        <f t="shared" si="14"/>
        <v>2028.04</v>
      </c>
      <c r="M25" s="2"/>
      <c r="N25" s="7">
        <f t="shared" si="15"/>
        <v>0.34754325354391163</v>
      </c>
      <c r="O25" s="11"/>
      <c r="P25" s="6">
        <v>20608.810000000001</v>
      </c>
      <c r="Q25" s="2"/>
      <c r="R25" s="7">
        <f t="shared" si="16"/>
        <v>1.184285988492443E-2</v>
      </c>
      <c r="S25" s="2"/>
      <c r="T25" s="6">
        <v>14868.81</v>
      </c>
      <c r="U25" s="2"/>
      <c r="V25" s="7">
        <f t="shared" si="17"/>
        <v>3.5413760140054408E-2</v>
      </c>
      <c r="W25" s="2"/>
      <c r="X25" s="6">
        <f t="shared" si="18"/>
        <v>5740.0000000000018</v>
      </c>
      <c r="Y25" s="2"/>
      <c r="Z25" s="7">
        <f t="shared" si="19"/>
        <v>0.38604299873359077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6">
        <v>4805.13</v>
      </c>
      <c r="E26" s="2"/>
      <c r="F26" s="7">
        <f t="shared" si="12"/>
        <v>6.0065610873048974E-3</v>
      </c>
      <c r="G26" s="2"/>
      <c r="H26" s="6">
        <v>2487.29</v>
      </c>
      <c r="I26" s="2"/>
      <c r="J26" s="7">
        <f t="shared" si="13"/>
        <v>1.317497311813718E-2</v>
      </c>
      <c r="K26" s="2"/>
      <c r="L26" s="6">
        <f t="shared" si="14"/>
        <v>2317.84</v>
      </c>
      <c r="M26" s="2"/>
      <c r="N26" s="7">
        <f t="shared" si="15"/>
        <v>0.93187364561430319</v>
      </c>
      <c r="O26" s="11"/>
      <c r="P26" s="6">
        <v>11575.67</v>
      </c>
      <c r="Q26" s="2"/>
      <c r="R26" s="7">
        <f t="shared" si="16"/>
        <v>6.6519628199844224E-3</v>
      </c>
      <c r="S26" s="2"/>
      <c r="T26" s="6">
        <v>8293.51</v>
      </c>
      <c r="U26" s="2"/>
      <c r="V26" s="7">
        <f t="shared" si="17"/>
        <v>1.9753051781490425E-2</v>
      </c>
      <c r="W26" s="2"/>
      <c r="X26" s="6">
        <f t="shared" si="18"/>
        <v>3282.16</v>
      </c>
      <c r="Y26" s="2"/>
      <c r="Z26" s="7">
        <f t="shared" si="19"/>
        <v>0.39575041206919626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6">
        <v>14552.35</v>
      </c>
      <c r="E27" s="2"/>
      <c r="F27" s="7">
        <f t="shared" si="12"/>
        <v>1.819088749707946E-2</v>
      </c>
      <c r="G27" s="2"/>
      <c r="H27" s="6">
        <v>17824.95</v>
      </c>
      <c r="I27" s="2"/>
      <c r="J27" s="7">
        <f t="shared" si="13"/>
        <v>9.4417312449348215E-2</v>
      </c>
      <c r="K27" s="2"/>
      <c r="L27" s="6">
        <f t="shared" si="14"/>
        <v>-3272.6000000000004</v>
      </c>
      <c r="M27" s="2"/>
      <c r="N27" s="7">
        <f t="shared" si="15"/>
        <v>-0.18359658792871791</v>
      </c>
      <c r="O27" s="11"/>
      <c r="P27" s="6">
        <v>62049.02</v>
      </c>
      <c r="Q27" s="2"/>
      <c r="R27" s="7">
        <f t="shared" si="16"/>
        <v>3.5656491076237473E-2</v>
      </c>
      <c r="S27" s="2"/>
      <c r="T27" s="6">
        <v>67353.899999999994</v>
      </c>
      <c r="U27" s="2"/>
      <c r="V27" s="7">
        <f t="shared" si="17"/>
        <v>0.16042002413758805</v>
      </c>
      <c r="W27" s="2"/>
      <c r="X27" s="6">
        <f t="shared" si="18"/>
        <v>-5304.8799999999974</v>
      </c>
      <c r="Y27" s="2"/>
      <c r="Z27" s="7">
        <f t="shared" si="19"/>
        <v>-7.8761289249768732E-2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>
        <v>347.02</v>
      </c>
      <c r="E28" s="2"/>
      <c r="F28" s="7">
        <f t="shared" si="12"/>
        <v>4.3378573077451502E-4</v>
      </c>
      <c r="G28" s="2"/>
      <c r="H28" s="6">
        <v>150.72999999999999</v>
      </c>
      <c r="I28" s="2"/>
      <c r="J28" s="7">
        <f t="shared" si="13"/>
        <v>7.9840456806275781E-4</v>
      </c>
      <c r="K28" s="2"/>
      <c r="L28" s="6">
        <f t="shared" si="14"/>
        <v>196.29</v>
      </c>
      <c r="M28" s="2"/>
      <c r="N28" s="7">
        <f t="shared" si="15"/>
        <v>1.3022623233596498</v>
      </c>
      <c r="O28" s="11"/>
      <c r="P28" s="6">
        <v>836.01</v>
      </c>
      <c r="Q28" s="2"/>
      <c r="R28" s="7">
        <f t="shared" si="16"/>
        <v>4.8041343932015833E-4</v>
      </c>
      <c r="S28" s="2"/>
      <c r="T28" s="6">
        <v>574.76</v>
      </c>
      <c r="U28" s="2"/>
      <c r="V28" s="7">
        <f t="shared" si="17"/>
        <v>1.3689335446547286E-3</v>
      </c>
      <c r="W28" s="2"/>
      <c r="X28" s="6">
        <f t="shared" si="18"/>
        <v>261.25</v>
      </c>
      <c r="Y28" s="2"/>
      <c r="Z28" s="7">
        <f t="shared" si="19"/>
        <v>0.45453754610620084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6">
        <v>2151.75</v>
      </c>
      <c r="E29" s="2"/>
      <c r="F29" s="7">
        <f t="shared" si="12"/>
        <v>2.6897540377905098E-3</v>
      </c>
      <c r="G29" s="2"/>
      <c r="H29" s="6">
        <v>1224.3599999999999</v>
      </c>
      <c r="I29" s="2"/>
      <c r="J29" s="7">
        <f t="shared" si="13"/>
        <v>6.4853354803510793E-3</v>
      </c>
      <c r="K29" s="2"/>
      <c r="L29" s="6">
        <f t="shared" si="14"/>
        <v>927.3900000000001</v>
      </c>
      <c r="M29" s="2"/>
      <c r="N29" s="7">
        <f t="shared" si="15"/>
        <v>0.7574487895716947</v>
      </c>
      <c r="O29" s="11"/>
      <c r="P29" s="6">
        <v>6455.25</v>
      </c>
      <c r="Q29" s="2"/>
      <c r="R29" s="7">
        <f t="shared" si="16"/>
        <v>3.7095116735104271E-3</v>
      </c>
      <c r="S29" s="2"/>
      <c r="T29" s="6">
        <v>6325.61</v>
      </c>
      <c r="U29" s="2"/>
      <c r="V29" s="7">
        <f t="shared" si="17"/>
        <v>1.5066009672564891E-2</v>
      </c>
      <c r="W29" s="2"/>
      <c r="X29" s="6">
        <f t="shared" si="18"/>
        <v>129.64000000000033</v>
      </c>
      <c r="Y29" s="2"/>
      <c r="Z29" s="7">
        <f t="shared" si="19"/>
        <v>2.0494466146347996E-2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6">
        <v>461.01</v>
      </c>
      <c r="E30" s="2"/>
      <c r="F30" s="7">
        <f t="shared" si="12"/>
        <v>5.7627675564624287E-4</v>
      </c>
      <c r="G30" s="2"/>
      <c r="H30" s="6">
        <v>464.24</v>
      </c>
      <c r="I30" s="2"/>
      <c r="J30" s="7">
        <f t="shared" si="13"/>
        <v>2.4590415755155227E-3</v>
      </c>
      <c r="K30" s="2"/>
      <c r="L30" s="6">
        <f t="shared" si="14"/>
        <v>-3.2300000000000182</v>
      </c>
      <c r="M30" s="2"/>
      <c r="N30" s="7">
        <f t="shared" si="15"/>
        <v>-6.9576081337239751E-3</v>
      </c>
      <c r="O30" s="11"/>
      <c r="P30" s="6">
        <v>1892.18</v>
      </c>
      <c r="Q30" s="2"/>
      <c r="R30" s="7">
        <f t="shared" si="16"/>
        <v>1.0873418997533729E-3</v>
      </c>
      <c r="S30" s="2"/>
      <c r="T30" s="6">
        <v>2302.27</v>
      </c>
      <c r="U30" s="2"/>
      <c r="V30" s="7">
        <f t="shared" si="17"/>
        <v>5.4834272250195593E-3</v>
      </c>
      <c r="W30" s="2"/>
      <c r="X30" s="6">
        <f t="shared" si="18"/>
        <v>-410.08999999999992</v>
      </c>
      <c r="Y30" s="2"/>
      <c r="Z30" s="7">
        <f t="shared" si="19"/>
        <v>-0.17812419915995947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6">
        <v>3436.63</v>
      </c>
      <c r="E31" s="2"/>
      <c r="F31" s="7">
        <f t="shared" si="12"/>
        <v>4.2958937696721275E-3</v>
      </c>
      <c r="G31" s="2"/>
      <c r="H31" s="6">
        <v>3625.02</v>
      </c>
      <c r="I31" s="2"/>
      <c r="J31" s="7">
        <f t="shared" si="13"/>
        <v>1.9201436524373772E-2</v>
      </c>
      <c r="K31" s="2"/>
      <c r="L31" s="6">
        <f t="shared" si="14"/>
        <v>-188.38999999999987</v>
      </c>
      <c r="M31" s="2"/>
      <c r="N31" s="7">
        <f t="shared" si="15"/>
        <v>-5.1969368444863717E-2</v>
      </c>
      <c r="O31" s="11"/>
      <c r="P31" s="6">
        <v>10905.74</v>
      </c>
      <c r="Q31" s="2"/>
      <c r="R31" s="7">
        <f t="shared" si="16"/>
        <v>6.2669873108353053E-3</v>
      </c>
      <c r="S31" s="2"/>
      <c r="T31" s="6">
        <v>10819.02</v>
      </c>
      <c r="U31" s="2"/>
      <c r="V31" s="7">
        <f t="shared" si="17"/>
        <v>2.5768180454955811E-2</v>
      </c>
      <c r="W31" s="2"/>
      <c r="X31" s="6">
        <f t="shared" si="18"/>
        <v>86.719999999999345</v>
      </c>
      <c r="Y31" s="2"/>
      <c r="Z31" s="7">
        <f t="shared" si="19"/>
        <v>8.0155134198845492E-3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6">
        <v>2337.33</v>
      </c>
      <c r="E32" s="2"/>
      <c r="F32" s="7">
        <f t="shared" si="12"/>
        <v>2.9217347764140316E-3</v>
      </c>
      <c r="G32" s="2"/>
      <c r="H32" s="6">
        <v>2287.3200000000002</v>
      </c>
      <c r="I32" s="2"/>
      <c r="J32" s="7">
        <f t="shared" si="13"/>
        <v>1.2115748269231789E-2</v>
      </c>
      <c r="K32" s="2"/>
      <c r="L32" s="6">
        <f t="shared" si="14"/>
        <v>50.009999999999764</v>
      </c>
      <c r="M32" s="2"/>
      <c r="N32" s="7">
        <f t="shared" si="15"/>
        <v>2.1864015529090709E-2</v>
      </c>
      <c r="O32" s="11"/>
      <c r="P32" s="6">
        <v>7496.65</v>
      </c>
      <c r="Q32" s="2"/>
      <c r="R32" s="7">
        <f t="shared" si="16"/>
        <v>4.3079525482703131E-3</v>
      </c>
      <c r="S32" s="2"/>
      <c r="T32" s="6">
        <v>6799.32</v>
      </c>
      <c r="U32" s="2"/>
      <c r="V32" s="7">
        <f t="shared" si="17"/>
        <v>1.6194267570536897E-2</v>
      </c>
      <c r="W32" s="2"/>
      <c r="X32" s="6">
        <f t="shared" si="18"/>
        <v>697.32999999999993</v>
      </c>
      <c r="Y32" s="2"/>
      <c r="Z32" s="7">
        <f t="shared" si="19"/>
        <v>0.10255878529029373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6">
        <v>1696.82</v>
      </c>
      <c r="E33" s="2"/>
      <c r="F33" s="7">
        <f t="shared" si="12"/>
        <v>2.1210774701539178E-3</v>
      </c>
      <c r="G33" s="2"/>
      <c r="H33" s="6">
        <v>972.4</v>
      </c>
      <c r="I33" s="2"/>
      <c r="J33" s="7">
        <f t="shared" si="13"/>
        <v>5.1507238239516069E-3</v>
      </c>
      <c r="K33" s="2"/>
      <c r="L33" s="6">
        <f t="shared" si="14"/>
        <v>724.42</v>
      </c>
      <c r="M33" s="2"/>
      <c r="N33" s="7">
        <f t="shared" si="15"/>
        <v>0.74498148909913608</v>
      </c>
      <c r="O33" s="11"/>
      <c r="P33" s="6">
        <v>4262.3100000000004</v>
      </c>
      <c r="Q33" s="2"/>
      <c r="R33" s="7">
        <f t="shared" si="16"/>
        <v>2.44933793441311E-3</v>
      </c>
      <c r="S33" s="2"/>
      <c r="T33" s="6">
        <v>3293.4</v>
      </c>
      <c r="U33" s="2"/>
      <c r="V33" s="7">
        <f t="shared" si="17"/>
        <v>7.8440492309240079E-3</v>
      </c>
      <c r="W33" s="2"/>
      <c r="X33" s="6">
        <f t="shared" si="18"/>
        <v>968.91000000000031</v>
      </c>
      <c r="Y33" s="2"/>
      <c r="Z33" s="7">
        <f t="shared" si="19"/>
        <v>0.2941974858808527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155091.72</v>
      </c>
      <c r="E34" s="1"/>
      <c r="F34" s="5">
        <f t="shared" ref="F34:F39" si="20">IF(D$12=0,0,D34/D$12)</f>
        <v>0.1938694458454166</v>
      </c>
      <c r="G34" s="1"/>
      <c r="H34" s="1">
        <f>SUM(OSRRefH22_1x_0)</f>
        <v>79894.55</v>
      </c>
      <c r="I34" s="1"/>
      <c r="J34" s="5">
        <f t="shared" ref="J34:J39" si="21">IF(H$12=0,0,H34/H$12)</f>
        <v>0.42319494250194661</v>
      </c>
      <c r="K34" s="1"/>
      <c r="L34" s="1">
        <f t="shared" ref="L34:L39" si="22">+D34-H34</f>
        <v>75197.17</v>
      </c>
      <c r="M34" s="1"/>
      <c r="N34" s="5">
        <f t="shared" ref="N34:N39" si="23">IF(H34=0,0,L34/H34)</f>
        <v>0.94120525117170062</v>
      </c>
      <c r="O34" s="14"/>
      <c r="P34" s="1">
        <f>SUM(OSRRefP22_1x_0)</f>
        <v>354941.34</v>
      </c>
      <c r="Q34" s="1"/>
      <c r="R34" s="5">
        <f t="shared" ref="R34:R39" si="24">IF(P$12=0,0,P34/P$12)</f>
        <v>0.20396716535245477</v>
      </c>
      <c r="S34" s="1"/>
      <c r="T34" s="1">
        <f>SUM(OSRRefT22_1x_0)</f>
        <v>221322.31999999998</v>
      </c>
      <c r="U34" s="1"/>
      <c r="V34" s="5">
        <f t="shared" ref="V34:V39" si="25">IF(T$12=0,0,T34/T$12)</f>
        <v>0.52713401772706536</v>
      </c>
      <c r="W34" s="1"/>
      <c r="X34" s="1">
        <f t="shared" ref="X34:X39" si="26">+P34-T34</f>
        <v>133619.02000000005</v>
      </c>
      <c r="Y34" s="1"/>
      <c r="Z34" s="5">
        <f t="shared" ref="Z34:Z39" si="27">IF(T34=0,0,X34/T34)</f>
        <v>0.60373043261068315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6">
        <v>21184.42</v>
      </c>
      <c r="E35" s="2"/>
      <c r="F35" s="7">
        <f t="shared" si="20"/>
        <v>2.6481180078192182E-2</v>
      </c>
      <c r="G35" s="2"/>
      <c r="H35" s="6">
        <v>14999.03</v>
      </c>
      <c r="I35" s="2"/>
      <c r="J35" s="7">
        <f t="shared" si="21"/>
        <v>7.9448643723945778E-2</v>
      </c>
      <c r="K35" s="2"/>
      <c r="L35" s="6">
        <f t="shared" si="22"/>
        <v>6185.3899999999976</v>
      </c>
      <c r="M35" s="2"/>
      <c r="N35" s="7">
        <f t="shared" si="23"/>
        <v>0.41238600096139533</v>
      </c>
      <c r="O35" s="11"/>
      <c r="P35" s="6">
        <v>74408.94</v>
      </c>
      <c r="Q35" s="2"/>
      <c r="R35" s="7">
        <f t="shared" si="24"/>
        <v>4.2759123433412642E-2</v>
      </c>
      <c r="S35" s="2"/>
      <c r="T35" s="6">
        <v>62793.11</v>
      </c>
      <c r="U35" s="2"/>
      <c r="V35" s="7">
        <f t="shared" si="25"/>
        <v>0.14955737116743384</v>
      </c>
      <c r="W35" s="2"/>
      <c r="X35" s="6">
        <f t="shared" si="26"/>
        <v>11615.830000000002</v>
      </c>
      <c r="Y35" s="2"/>
      <c r="Z35" s="7">
        <f t="shared" si="27"/>
        <v>0.18498574127002154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>
        <v>50633.87</v>
      </c>
      <c r="E36" s="2"/>
      <c r="F36" s="7">
        <f t="shared" si="20"/>
        <v>6.3293903232931228E-2</v>
      </c>
      <c r="G36" s="2"/>
      <c r="H36" s="6">
        <v>25254.75</v>
      </c>
      <c r="I36" s="2"/>
      <c r="J36" s="7">
        <f t="shared" si="21"/>
        <v>0.13377235961840997</v>
      </c>
      <c r="K36" s="2"/>
      <c r="L36" s="6">
        <f t="shared" si="22"/>
        <v>25379.120000000003</v>
      </c>
      <c r="M36" s="2"/>
      <c r="N36" s="7">
        <f t="shared" si="23"/>
        <v>1.004924618141142</v>
      </c>
      <c r="O36" s="11"/>
      <c r="P36" s="6">
        <v>120179.68</v>
      </c>
      <c r="Q36" s="2"/>
      <c r="R36" s="7">
        <f t="shared" si="24"/>
        <v>6.9061295206033477E-2</v>
      </c>
      <c r="S36" s="2"/>
      <c r="T36" s="6">
        <v>69853.929999999993</v>
      </c>
      <c r="U36" s="2"/>
      <c r="V36" s="7">
        <f t="shared" si="25"/>
        <v>0.16637446586916846</v>
      </c>
      <c r="W36" s="2"/>
      <c r="X36" s="6">
        <f t="shared" si="26"/>
        <v>50325.75</v>
      </c>
      <c r="Y36" s="2"/>
      <c r="Z36" s="7">
        <f t="shared" si="27"/>
        <v>0.72044264367087152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>
        <v>50818.2</v>
      </c>
      <c r="E37" s="2"/>
      <c r="F37" s="7">
        <f t="shared" si="20"/>
        <v>6.3524321432901446E-2</v>
      </c>
      <c r="G37" s="2"/>
      <c r="H37" s="6">
        <v>23204.07</v>
      </c>
      <c r="I37" s="2"/>
      <c r="J37" s="7">
        <f t="shared" si="21"/>
        <v>0.12291007420983215</v>
      </c>
      <c r="K37" s="2"/>
      <c r="L37" s="6">
        <f t="shared" si="22"/>
        <v>27614.129999999997</v>
      </c>
      <c r="M37" s="2"/>
      <c r="N37" s="7">
        <f t="shared" si="23"/>
        <v>1.1900554514789861</v>
      </c>
      <c r="O37" s="11"/>
      <c r="P37" s="6">
        <v>81659.990000000005</v>
      </c>
      <c r="Q37" s="2"/>
      <c r="R37" s="7">
        <f t="shared" si="24"/>
        <v>4.6925941855659306E-2</v>
      </c>
      <c r="S37" s="2"/>
      <c r="T37" s="6">
        <v>37723.81</v>
      </c>
      <c r="U37" s="2"/>
      <c r="V37" s="7">
        <f t="shared" si="25"/>
        <v>8.9848613231925487E-2</v>
      </c>
      <c r="W37" s="2"/>
      <c r="X37" s="6">
        <f t="shared" si="26"/>
        <v>43936.180000000008</v>
      </c>
      <c r="Y37" s="2"/>
      <c r="Z37" s="7">
        <f t="shared" si="27"/>
        <v>1.1646803437934825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>
        <v>26035.39</v>
      </c>
      <c r="E38" s="2"/>
      <c r="F38" s="7">
        <f t="shared" si="20"/>
        <v>3.2545042582990895E-2</v>
      </c>
      <c r="G38" s="2"/>
      <c r="H38" s="6">
        <v>12444.4</v>
      </c>
      <c r="I38" s="2"/>
      <c r="J38" s="7">
        <f t="shared" si="21"/>
        <v>6.5916976095005533E-2</v>
      </c>
      <c r="K38" s="2"/>
      <c r="L38" s="6">
        <f t="shared" si="22"/>
        <v>13590.99</v>
      </c>
      <c r="M38" s="2"/>
      <c r="N38" s="7">
        <f t="shared" si="23"/>
        <v>1.0921370254893767</v>
      </c>
      <c r="O38" s="11"/>
      <c r="P38" s="6">
        <v>68743.210000000006</v>
      </c>
      <c r="Q38" s="2"/>
      <c r="R38" s="7">
        <f t="shared" si="24"/>
        <v>3.9503309704438827E-2</v>
      </c>
      <c r="S38" s="2"/>
      <c r="T38" s="6">
        <v>43256.51</v>
      </c>
      <c r="U38" s="2"/>
      <c r="V38" s="7">
        <f t="shared" si="25"/>
        <v>0.10302611100927815</v>
      </c>
      <c r="W38" s="2"/>
      <c r="X38" s="6">
        <f t="shared" si="26"/>
        <v>25486.700000000004</v>
      </c>
      <c r="Y38" s="2"/>
      <c r="Z38" s="7">
        <f t="shared" si="27"/>
        <v>0.58919917487564311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6419.84</v>
      </c>
      <c r="E39" s="2"/>
      <c r="F39" s="7">
        <f t="shared" si="20"/>
        <v>8.0249985184008502E-3</v>
      </c>
      <c r="G39" s="2"/>
      <c r="H39" s="6">
        <v>3992.3</v>
      </c>
      <c r="I39" s="2"/>
      <c r="J39" s="7">
        <f t="shared" si="21"/>
        <v>2.1146888854753191E-2</v>
      </c>
      <c r="K39" s="2"/>
      <c r="L39" s="6">
        <f t="shared" si="22"/>
        <v>2427.54</v>
      </c>
      <c r="M39" s="2"/>
      <c r="N39" s="7">
        <f t="shared" si="23"/>
        <v>0.60805550685068754</v>
      </c>
      <c r="O39" s="11"/>
      <c r="P39" s="6">
        <v>9949.52</v>
      </c>
      <c r="Q39" s="2"/>
      <c r="R39" s="7">
        <f t="shared" si="24"/>
        <v>5.7174951529104937E-3</v>
      </c>
      <c r="S39" s="2"/>
      <c r="T39" s="6">
        <v>7694.96</v>
      </c>
      <c r="U39" s="2"/>
      <c r="V39" s="7">
        <f t="shared" si="25"/>
        <v>1.8327456449259431E-2</v>
      </c>
      <c r="W39" s="2"/>
      <c r="X39" s="6">
        <f t="shared" si="26"/>
        <v>2254.5600000000004</v>
      </c>
      <c r="Y39" s="2"/>
      <c r="Z39" s="7">
        <f t="shared" si="27"/>
        <v>0.29299177643548507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8" si="28">IF(D$12=0,0,D40/D$12)</f>
        <v>0</v>
      </c>
      <c r="G40" s="1"/>
      <c r="H40" s="1">
        <f>SUM(OSRRefH22_2x_0)</f>
        <v>0</v>
      </c>
      <c r="I40" s="1"/>
      <c r="J40" s="5">
        <f t="shared" ref="J40:J58" si="29">IF(H$12=0,0,H40/H$12)</f>
        <v>0</v>
      </c>
      <c r="K40" s="1"/>
      <c r="L40" s="1">
        <f t="shared" ref="L40:L58" si="30">+D40-H40</f>
        <v>0</v>
      </c>
      <c r="M40" s="1"/>
      <c r="N40" s="5">
        <f t="shared" ref="N40:N58" si="31">IF(H40=0,0,L40/H40)</f>
        <v>0</v>
      </c>
      <c r="O40" s="14"/>
      <c r="P40" s="1">
        <f>SUM(OSRRefP22_2x_0)</f>
        <v>955.26</v>
      </c>
      <c r="Q40" s="1"/>
      <c r="R40" s="5">
        <f t="shared" ref="R40:R58" si="32">IF(P$12=0,0,P40/P$12)</f>
        <v>5.4894049358856286E-4</v>
      </c>
      <c r="S40" s="1"/>
      <c r="T40" s="1">
        <f>SUM(OSRRefT22_2x_0)</f>
        <v>1224.25</v>
      </c>
      <c r="U40" s="1"/>
      <c r="V40" s="5">
        <f t="shared" ref="V40:V58" si="33">IF(T$12=0,0,T40/T$12)</f>
        <v>2.915855125693422E-3</v>
      </c>
      <c r="W40" s="1"/>
      <c r="X40" s="1">
        <f t="shared" ref="X40:X58" si="34">+P40-T40</f>
        <v>-268.99</v>
      </c>
      <c r="Y40" s="1"/>
      <c r="Z40" s="5">
        <f t="shared" ref="Z40:Z58" si="35">IF(T40=0,0,X40/T40)</f>
        <v>-0.21971819481315091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955.26</v>
      </c>
      <c r="Q41" s="2"/>
      <c r="R41" s="7">
        <f t="shared" si="32"/>
        <v>5.4894049358856286E-4</v>
      </c>
      <c r="S41" s="2"/>
      <c r="T41" s="6">
        <v>1224.25</v>
      </c>
      <c r="U41" s="2"/>
      <c r="V41" s="7">
        <f t="shared" si="33"/>
        <v>2.915855125693422E-3</v>
      </c>
      <c r="W41" s="2"/>
      <c r="X41" s="6">
        <f t="shared" si="34"/>
        <v>-268.99</v>
      </c>
      <c r="Y41" s="2"/>
      <c r="Z41" s="7">
        <f t="shared" si="35"/>
        <v>-0.21971819481315091</v>
      </c>
    </row>
    <row r="42" spans="1:26" s="28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8</v>
      </c>
      <c r="I42" s="1"/>
      <c r="J42" s="5">
        <f t="shared" si="29"/>
        <v>4.2375350258754482E-5</v>
      </c>
      <c r="K42" s="1"/>
      <c r="L42" s="1">
        <f t="shared" si="30"/>
        <v>-8</v>
      </c>
      <c r="M42" s="1"/>
      <c r="N42" s="5">
        <f t="shared" si="31"/>
        <v>-1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40</v>
      </c>
      <c r="U42" s="1"/>
      <c r="V42" s="5">
        <f t="shared" si="33"/>
        <v>9.526992446619309E-5</v>
      </c>
      <c r="W42" s="1"/>
      <c r="X42" s="1">
        <f t="shared" si="34"/>
        <v>-40</v>
      </c>
      <c r="Y42" s="1"/>
      <c r="Z42" s="5">
        <f t="shared" si="35"/>
        <v>-1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8"/>
        <v>0</v>
      </c>
      <c r="G43" s="2"/>
      <c r="H43" s="6">
        <v>8</v>
      </c>
      <c r="I43" s="2"/>
      <c r="J43" s="7">
        <f t="shared" si="29"/>
        <v>4.2375350258754482E-5</v>
      </c>
      <c r="K43" s="2"/>
      <c r="L43" s="6">
        <f t="shared" si="30"/>
        <v>-8</v>
      </c>
      <c r="M43" s="2"/>
      <c r="N43" s="7">
        <f t="shared" si="31"/>
        <v>-1</v>
      </c>
      <c r="O43" s="11"/>
      <c r="P43" s="6"/>
      <c r="Q43" s="2"/>
      <c r="R43" s="7">
        <f t="shared" si="32"/>
        <v>0</v>
      </c>
      <c r="S43" s="2"/>
      <c r="T43" s="6">
        <v>40</v>
      </c>
      <c r="U43" s="2"/>
      <c r="V43" s="7">
        <f t="shared" si="33"/>
        <v>9.526992446619309E-5</v>
      </c>
      <c r="W43" s="2"/>
      <c r="X43" s="6">
        <f t="shared" si="34"/>
        <v>-40</v>
      </c>
      <c r="Y43" s="2"/>
      <c r="Z43" s="7">
        <f t="shared" si="35"/>
        <v>-1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51.38</v>
      </c>
      <c r="E44" s="1"/>
      <c r="F44" s="5">
        <f t="shared" si="28"/>
        <v>6.4226588805240572E-5</v>
      </c>
      <c r="G44" s="1"/>
      <c r="H44" s="1">
        <f>SUM(OSRRefH22_4x_0)</f>
        <v>0</v>
      </c>
      <c r="I44" s="1"/>
      <c r="J44" s="5">
        <f t="shared" si="29"/>
        <v>0</v>
      </c>
      <c r="K44" s="1"/>
      <c r="L44" s="1">
        <f t="shared" si="30"/>
        <v>51.38</v>
      </c>
      <c r="M44" s="1"/>
      <c r="N44" s="5">
        <f t="shared" si="31"/>
        <v>0</v>
      </c>
      <c r="O44" s="14"/>
      <c r="P44" s="1">
        <f>SUM(OSRRefP22_4x_0)</f>
        <v>223.14</v>
      </c>
      <c r="Q44" s="1"/>
      <c r="R44" s="5">
        <f t="shared" si="32"/>
        <v>1.2822747915682841E-4</v>
      </c>
      <c r="S44" s="1"/>
      <c r="T44" s="1">
        <f>SUM(OSRRefT22_4x_0)</f>
        <v>0</v>
      </c>
      <c r="U44" s="1"/>
      <c r="V44" s="5">
        <f t="shared" si="33"/>
        <v>0</v>
      </c>
      <c r="W44" s="1"/>
      <c r="X44" s="1">
        <f t="shared" si="34"/>
        <v>223.14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51.38</v>
      </c>
      <c r="E45" s="2"/>
      <c r="F45" s="7">
        <f t="shared" si="28"/>
        <v>6.4226588805240572E-5</v>
      </c>
      <c r="G45" s="2"/>
      <c r="H45" s="6"/>
      <c r="I45" s="2"/>
      <c r="J45" s="7">
        <f t="shared" si="29"/>
        <v>0</v>
      </c>
      <c r="K45" s="2"/>
      <c r="L45" s="6">
        <f t="shared" si="30"/>
        <v>51.38</v>
      </c>
      <c r="M45" s="2"/>
      <c r="N45" s="7">
        <f t="shared" si="31"/>
        <v>0</v>
      </c>
      <c r="O45" s="11"/>
      <c r="P45" s="6">
        <v>223.14</v>
      </c>
      <c r="Q45" s="2"/>
      <c r="R45" s="7">
        <f t="shared" si="32"/>
        <v>1.2822747915682841E-4</v>
      </c>
      <c r="S45" s="2"/>
      <c r="T45" s="6"/>
      <c r="U45" s="2"/>
      <c r="V45" s="7">
        <f t="shared" si="33"/>
        <v>0</v>
      </c>
      <c r="W45" s="2"/>
      <c r="X45" s="6">
        <f t="shared" si="34"/>
        <v>223.14</v>
      </c>
      <c r="Y45" s="2"/>
      <c r="Z45" s="7">
        <f t="shared" si="35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3.418959576512524E-4</v>
      </c>
      <c r="G46" s="1"/>
      <c r="H46" s="1">
        <f>SUM(OSRRefH22_5x_0)</f>
        <v>272.74</v>
      </c>
      <c r="I46" s="1"/>
      <c r="J46" s="5">
        <f t="shared" si="29"/>
        <v>1.4446816286965872E-3</v>
      </c>
      <c r="K46" s="1"/>
      <c r="L46" s="1">
        <f t="shared" si="30"/>
        <v>0.76999999999998181</v>
      </c>
      <c r="M46" s="1"/>
      <c r="N46" s="5">
        <f t="shared" si="31"/>
        <v>2.8232015839260165E-3</v>
      </c>
      <c r="O46" s="14"/>
      <c r="P46" s="1">
        <f>SUM(OSRRefP22_5x_0)</f>
        <v>1094.04</v>
      </c>
      <c r="Q46" s="1"/>
      <c r="R46" s="5">
        <f t="shared" si="32"/>
        <v>6.286904691975287E-4</v>
      </c>
      <c r="S46" s="1"/>
      <c r="T46" s="1">
        <f>SUM(OSRRefT22_5x_0)</f>
        <v>826.74</v>
      </c>
      <c r="U46" s="1"/>
      <c r="V46" s="5">
        <f t="shared" si="33"/>
        <v>1.9690864338295119E-3</v>
      </c>
      <c r="W46" s="1"/>
      <c r="X46" s="1">
        <f t="shared" si="34"/>
        <v>267.29999999999995</v>
      </c>
      <c r="Y46" s="1"/>
      <c r="Z46" s="5">
        <f t="shared" si="35"/>
        <v>0.32331809274983664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273.51</v>
      </c>
      <c r="E47" s="2"/>
      <c r="F47" s="7">
        <f t="shared" si="28"/>
        <v>3.418959576512524E-4</v>
      </c>
      <c r="G47" s="2"/>
      <c r="H47" s="6">
        <v>272.74</v>
      </c>
      <c r="I47" s="2"/>
      <c r="J47" s="7">
        <f t="shared" si="29"/>
        <v>1.4446816286965872E-3</v>
      </c>
      <c r="K47" s="2"/>
      <c r="L47" s="6">
        <f t="shared" si="30"/>
        <v>0.76999999999998181</v>
      </c>
      <c r="M47" s="2"/>
      <c r="N47" s="7">
        <f t="shared" si="31"/>
        <v>2.8232015839260165E-3</v>
      </c>
      <c r="O47" s="11"/>
      <c r="P47" s="6">
        <v>1094.04</v>
      </c>
      <c r="Q47" s="2"/>
      <c r="R47" s="7">
        <f t="shared" si="32"/>
        <v>6.286904691975287E-4</v>
      </c>
      <c r="S47" s="2"/>
      <c r="T47" s="6">
        <v>826.74</v>
      </c>
      <c r="U47" s="2"/>
      <c r="V47" s="7">
        <f t="shared" si="33"/>
        <v>1.9690864338295119E-3</v>
      </c>
      <c r="W47" s="2"/>
      <c r="X47" s="6">
        <f t="shared" si="34"/>
        <v>267.29999999999995</v>
      </c>
      <c r="Y47" s="2"/>
      <c r="Z47" s="7">
        <f t="shared" si="35"/>
        <v>0.32331809274983664</v>
      </c>
    </row>
    <row r="48" spans="1:26" s="28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3477.05</v>
      </c>
      <c r="E48" s="1"/>
      <c r="F48" s="5">
        <f t="shared" si="28"/>
        <v>4.3464200195652341E-3</v>
      </c>
      <c r="G48" s="1"/>
      <c r="H48" s="1">
        <f>SUM(OSRRefH22_6x_0)</f>
        <v>11110.09</v>
      </c>
      <c r="I48" s="1"/>
      <c r="J48" s="5">
        <f t="shared" si="29"/>
        <v>5.8849244394535698E-2</v>
      </c>
      <c r="K48" s="1"/>
      <c r="L48" s="1">
        <f t="shared" si="30"/>
        <v>-7633.04</v>
      </c>
      <c r="M48" s="1"/>
      <c r="N48" s="5">
        <f t="shared" si="31"/>
        <v>-0.68703673867628434</v>
      </c>
      <c r="O48" s="14"/>
      <c r="P48" s="1">
        <f>SUM(OSRRefP22_6x_0)</f>
        <v>7881.32</v>
      </c>
      <c r="Q48" s="1"/>
      <c r="R48" s="5">
        <f t="shared" si="32"/>
        <v>4.5290032985045034E-3</v>
      </c>
      <c r="S48" s="1"/>
      <c r="T48" s="1">
        <f>SUM(OSRRefT22_6x_0)</f>
        <v>22220.18</v>
      </c>
      <c r="U48" s="1"/>
      <c r="V48" s="5">
        <f t="shared" si="33"/>
        <v>5.292287175563036E-2</v>
      </c>
      <c r="W48" s="1"/>
      <c r="X48" s="1">
        <f t="shared" si="34"/>
        <v>-14338.86</v>
      </c>
      <c r="Y48" s="1"/>
      <c r="Z48" s="5">
        <f t="shared" si="35"/>
        <v>-0.64530800380554976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6">
        <v>3477.05</v>
      </c>
      <c r="E49" s="2"/>
      <c r="F49" s="7">
        <f t="shared" si="28"/>
        <v>4.3464200195652341E-3</v>
      </c>
      <c r="G49" s="2"/>
      <c r="H49" s="6">
        <v>11110.09</v>
      </c>
      <c r="I49" s="2"/>
      <c r="J49" s="7">
        <f t="shared" si="29"/>
        <v>5.8849244394535698E-2</v>
      </c>
      <c r="K49" s="2"/>
      <c r="L49" s="6">
        <f t="shared" si="30"/>
        <v>-7633.04</v>
      </c>
      <c r="M49" s="2"/>
      <c r="N49" s="7">
        <f t="shared" si="31"/>
        <v>-0.68703673867628434</v>
      </c>
      <c r="O49" s="11"/>
      <c r="P49" s="6">
        <v>7881.32</v>
      </c>
      <c r="Q49" s="2"/>
      <c r="R49" s="7">
        <f t="shared" si="32"/>
        <v>4.5290032985045034E-3</v>
      </c>
      <c r="S49" s="2"/>
      <c r="T49" s="6">
        <v>22220.18</v>
      </c>
      <c r="U49" s="2"/>
      <c r="V49" s="7">
        <f t="shared" si="33"/>
        <v>5.292287175563036E-2</v>
      </c>
      <c r="W49" s="2"/>
      <c r="X49" s="6">
        <f t="shared" si="34"/>
        <v>-14338.86</v>
      </c>
      <c r="Y49" s="2"/>
      <c r="Z49" s="7">
        <f t="shared" si="35"/>
        <v>-0.64530800380554976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461.73</v>
      </c>
      <c r="E50" s="1"/>
      <c r="F50" s="5">
        <f t="shared" si="28"/>
        <v>5.7717677791054359E-4</v>
      </c>
      <c r="G50" s="1"/>
      <c r="H50" s="1">
        <f>SUM(OSRRefH22_7x_0)</f>
        <v>245.6</v>
      </c>
      <c r="I50" s="1"/>
      <c r="J50" s="5">
        <f t="shared" si="29"/>
        <v>1.3009232529437626E-3</v>
      </c>
      <c r="K50" s="1"/>
      <c r="L50" s="1">
        <f t="shared" si="30"/>
        <v>216.13000000000002</v>
      </c>
      <c r="M50" s="1"/>
      <c r="N50" s="5">
        <f t="shared" si="31"/>
        <v>0.88000814332247568</v>
      </c>
      <c r="O50" s="14"/>
      <c r="P50" s="1">
        <f>SUM(OSRRefP22_7x_0)</f>
        <v>1289.45</v>
      </c>
      <c r="Q50" s="1"/>
      <c r="R50" s="5">
        <f t="shared" si="32"/>
        <v>7.4098289414167081E-4</v>
      </c>
      <c r="S50" s="1"/>
      <c r="T50" s="1">
        <f>SUM(OSRRefT22_7x_0)</f>
        <v>1281.3399999999999</v>
      </c>
      <c r="U50" s="1"/>
      <c r="V50" s="5">
        <f t="shared" si="33"/>
        <v>3.0518291253877959E-3</v>
      </c>
      <c r="W50" s="1"/>
      <c r="X50" s="1">
        <f t="shared" si="34"/>
        <v>8.1100000000001273</v>
      </c>
      <c r="Y50" s="1"/>
      <c r="Z50" s="5">
        <f t="shared" si="35"/>
        <v>6.3293115020214216E-3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6">
        <v>461.73</v>
      </c>
      <c r="E51" s="2"/>
      <c r="F51" s="7">
        <f t="shared" si="28"/>
        <v>5.7717677791054359E-4</v>
      </c>
      <c r="G51" s="2"/>
      <c r="H51" s="6">
        <v>245.6</v>
      </c>
      <c r="I51" s="2"/>
      <c r="J51" s="7">
        <f t="shared" si="29"/>
        <v>1.3009232529437626E-3</v>
      </c>
      <c r="K51" s="2"/>
      <c r="L51" s="6">
        <f t="shared" si="30"/>
        <v>216.13000000000002</v>
      </c>
      <c r="M51" s="2"/>
      <c r="N51" s="7">
        <f t="shared" si="31"/>
        <v>0.88000814332247568</v>
      </c>
      <c r="O51" s="11"/>
      <c r="P51" s="6">
        <v>1289.45</v>
      </c>
      <c r="Q51" s="2"/>
      <c r="R51" s="7">
        <f t="shared" si="32"/>
        <v>7.4098289414167081E-4</v>
      </c>
      <c r="S51" s="2"/>
      <c r="T51" s="6">
        <v>1281.3399999999999</v>
      </c>
      <c r="U51" s="2"/>
      <c r="V51" s="7">
        <f t="shared" si="33"/>
        <v>3.0518291253877959E-3</v>
      </c>
      <c r="W51" s="2"/>
      <c r="X51" s="6">
        <f t="shared" si="34"/>
        <v>8.1100000000001273</v>
      </c>
      <c r="Y51" s="2"/>
      <c r="Z51" s="7">
        <f t="shared" si="35"/>
        <v>6.3293115020214216E-3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0</v>
      </c>
      <c r="E52" s="1"/>
      <c r="F52" s="5">
        <f t="shared" si="28"/>
        <v>0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SUM(OSRRefP22_8x_0)</f>
        <v>1557.93</v>
      </c>
      <c r="Q52" s="1"/>
      <c r="R52" s="5">
        <f t="shared" si="32"/>
        <v>8.9526502017924945E-4</v>
      </c>
      <c r="S52" s="1"/>
      <c r="T52" s="1">
        <f>SUM(OSRRefT22_8x_0)</f>
        <v>1439.55</v>
      </c>
      <c r="U52" s="1"/>
      <c r="V52" s="5">
        <f t="shared" si="33"/>
        <v>3.4286454941327062E-3</v>
      </c>
      <c r="W52" s="1"/>
      <c r="X52" s="1">
        <f t="shared" si="34"/>
        <v>118.38000000000011</v>
      </c>
      <c r="Y52" s="1"/>
      <c r="Z52" s="5">
        <f t="shared" si="35"/>
        <v>8.2234031468167212E-2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1557.93</v>
      </c>
      <c r="Q53" s="2"/>
      <c r="R53" s="7">
        <f t="shared" si="32"/>
        <v>8.9526502017924945E-4</v>
      </c>
      <c r="S53" s="2"/>
      <c r="T53" s="6">
        <v>1439.55</v>
      </c>
      <c r="U53" s="2"/>
      <c r="V53" s="7">
        <f t="shared" si="33"/>
        <v>3.4286454941327062E-3</v>
      </c>
      <c r="W53" s="2"/>
      <c r="X53" s="6">
        <f t="shared" si="34"/>
        <v>118.38000000000011</v>
      </c>
      <c r="Y53" s="2"/>
      <c r="Z53" s="7">
        <f t="shared" si="35"/>
        <v>8.2234031468167212E-2</v>
      </c>
    </row>
    <row r="54" spans="1:26" s="28" customFormat="1" outlineLevel="1" collapsed="1" x14ac:dyDescent="0.25">
      <c r="A54" s="27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63720.25</v>
      </c>
      <c r="E54" s="1"/>
      <c r="F54" s="5">
        <f t="shared" si="28"/>
        <v>7.9652282898348206E-2</v>
      </c>
      <c r="G54" s="1"/>
      <c r="H54" s="1">
        <f>SUM(OSRRefH22_9x_0)</f>
        <v>11623.19</v>
      </c>
      <c r="I54" s="1"/>
      <c r="J54" s="5">
        <f t="shared" si="29"/>
        <v>6.1567093421756564E-2</v>
      </c>
      <c r="K54" s="1"/>
      <c r="L54" s="1">
        <f t="shared" si="30"/>
        <v>52097.06</v>
      </c>
      <c r="M54" s="1"/>
      <c r="N54" s="5">
        <f t="shared" si="31"/>
        <v>4.4821653952142224</v>
      </c>
      <c r="O54" s="14"/>
      <c r="P54" s="1">
        <f>SUM(OSRRefP22_9x_0)</f>
        <v>135015.17000000001</v>
      </c>
      <c r="Q54" s="1"/>
      <c r="R54" s="5">
        <f t="shared" si="32"/>
        <v>7.7586514730799708E-2</v>
      </c>
      <c r="S54" s="1"/>
      <c r="T54" s="1">
        <f>SUM(OSRRefT22_9x_0)</f>
        <v>26805.03</v>
      </c>
      <c r="U54" s="1"/>
      <c r="V54" s="5">
        <f t="shared" si="33"/>
        <v>6.3842829585350994E-2</v>
      </c>
      <c r="W54" s="1"/>
      <c r="X54" s="1">
        <f t="shared" si="34"/>
        <v>108210.14000000001</v>
      </c>
      <c r="Y54" s="1"/>
      <c r="Z54" s="5">
        <f t="shared" si="35"/>
        <v>4.0369341127392886</v>
      </c>
    </row>
    <row r="55" spans="1:26" s="24" customFormat="1" hidden="1" outlineLevel="2" x14ac:dyDescent="0.25">
      <c r="A55" s="29"/>
      <c r="B55" s="11" t="str">
        <f>CONCATENATE("          ", "6387", " - ", "COMMISSION DUE HOUSING")</f>
        <v xml:space="preserve">          6387 - COMMISSION DUE HOUSING</v>
      </c>
      <c r="C55" s="11"/>
      <c r="D55" s="6">
        <v>63720.25</v>
      </c>
      <c r="E55" s="2"/>
      <c r="F55" s="7">
        <f t="shared" si="28"/>
        <v>7.9652282898348206E-2</v>
      </c>
      <c r="G55" s="2"/>
      <c r="H55" s="6">
        <v>11623.19</v>
      </c>
      <c r="I55" s="2"/>
      <c r="J55" s="7">
        <f t="shared" si="29"/>
        <v>6.1567093421756564E-2</v>
      </c>
      <c r="K55" s="2"/>
      <c r="L55" s="6">
        <f t="shared" si="30"/>
        <v>52097.06</v>
      </c>
      <c r="M55" s="2"/>
      <c r="N55" s="7">
        <f t="shared" si="31"/>
        <v>4.4821653952142224</v>
      </c>
      <c r="O55" s="11"/>
      <c r="P55" s="6">
        <v>135015.17000000001</v>
      </c>
      <c r="Q55" s="2"/>
      <c r="R55" s="7">
        <f t="shared" si="32"/>
        <v>7.7586514730799708E-2</v>
      </c>
      <c r="S55" s="2"/>
      <c r="T55" s="6">
        <v>26805.03</v>
      </c>
      <c r="U55" s="2"/>
      <c r="V55" s="7">
        <f t="shared" si="33"/>
        <v>6.3842829585350994E-2</v>
      </c>
      <c r="W55" s="2"/>
      <c r="X55" s="6">
        <f t="shared" si="34"/>
        <v>108210.14000000001</v>
      </c>
      <c r="Y55" s="2"/>
      <c r="Z55" s="7">
        <f t="shared" si="35"/>
        <v>4.0369341127392886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1244.3800000000001</v>
      </c>
      <c r="E56" s="1"/>
      <c r="F56" s="5">
        <f t="shared" si="28"/>
        <v>1.5555134795146998E-3</v>
      </c>
      <c r="G56" s="1"/>
      <c r="H56" s="1">
        <f>SUM(OSRRefH22_10x_0)</f>
        <v>414.44</v>
      </c>
      <c r="I56" s="1"/>
      <c r="J56" s="5">
        <f t="shared" si="29"/>
        <v>2.195255020154776E-3</v>
      </c>
      <c r="K56" s="1"/>
      <c r="L56" s="1">
        <f t="shared" si="30"/>
        <v>829.94</v>
      </c>
      <c r="M56" s="1"/>
      <c r="N56" s="5">
        <f t="shared" si="31"/>
        <v>2.0025576681787474</v>
      </c>
      <c r="O56" s="14"/>
      <c r="P56" s="1">
        <f>SUM(OSRRefP22_10x_0)</f>
        <v>1999.51</v>
      </c>
      <c r="Q56" s="1"/>
      <c r="R56" s="5">
        <f t="shared" si="32"/>
        <v>1.1490191218466882E-3</v>
      </c>
      <c r="S56" s="1"/>
      <c r="T56" s="1">
        <f>SUM(OSRRefT22_10x_0)</f>
        <v>2098.12</v>
      </c>
      <c r="U56" s="1"/>
      <c r="V56" s="5">
        <f t="shared" si="33"/>
        <v>4.9971933480252254E-3</v>
      </c>
      <c r="W56" s="1"/>
      <c r="X56" s="1">
        <f t="shared" si="34"/>
        <v>-98.6099999999999</v>
      </c>
      <c r="Y56" s="1"/>
      <c r="Z56" s="5">
        <f t="shared" si="35"/>
        <v>-4.6999218347854227E-2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6">
        <v>57.15</v>
      </c>
      <c r="E57" s="2"/>
      <c r="F57" s="7">
        <f t="shared" si="28"/>
        <v>7.1439267228873082E-5</v>
      </c>
      <c r="G57" s="2"/>
      <c r="H57" s="6">
        <v>17.82</v>
      </c>
      <c r="I57" s="2"/>
      <c r="J57" s="7">
        <f t="shared" si="29"/>
        <v>9.4391092701375613E-5</v>
      </c>
      <c r="K57" s="2"/>
      <c r="L57" s="6">
        <f t="shared" si="30"/>
        <v>39.33</v>
      </c>
      <c r="M57" s="2"/>
      <c r="N57" s="7">
        <f t="shared" si="31"/>
        <v>2.2070707070707067</v>
      </c>
      <c r="O57" s="11"/>
      <c r="P57" s="6">
        <v>154.97999999999999</v>
      </c>
      <c r="Q57" s="2"/>
      <c r="R57" s="7">
        <f t="shared" si="32"/>
        <v>8.9059311283164232E-5</v>
      </c>
      <c r="S57" s="2"/>
      <c r="T57" s="6">
        <v>1496.5</v>
      </c>
      <c r="U57" s="2"/>
      <c r="V57" s="7">
        <f t="shared" si="33"/>
        <v>3.5642860490914491E-3</v>
      </c>
      <c r="W57" s="2"/>
      <c r="X57" s="6">
        <f t="shared" si="34"/>
        <v>-1341.52</v>
      </c>
      <c r="Y57" s="2"/>
      <c r="Z57" s="7">
        <f t="shared" si="35"/>
        <v>-0.8964383561643835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1187.23</v>
      </c>
      <c r="E58" s="2"/>
      <c r="F58" s="7">
        <f t="shared" si="28"/>
        <v>1.4840742122858264E-3</v>
      </c>
      <c r="G58" s="2"/>
      <c r="H58" s="6">
        <v>396.62</v>
      </c>
      <c r="I58" s="2"/>
      <c r="J58" s="7">
        <f t="shared" si="29"/>
        <v>2.1008639274534002E-3</v>
      </c>
      <c r="K58" s="2"/>
      <c r="L58" s="6">
        <f t="shared" si="30"/>
        <v>790.61</v>
      </c>
      <c r="M58" s="2"/>
      <c r="N58" s="7">
        <f t="shared" si="31"/>
        <v>1.9933689677777218</v>
      </c>
      <c r="O58" s="11"/>
      <c r="P58" s="6">
        <v>1844.53</v>
      </c>
      <c r="Q58" s="2"/>
      <c r="R58" s="7">
        <f t="shared" si="32"/>
        <v>1.0599598105635239E-3</v>
      </c>
      <c r="S58" s="2"/>
      <c r="T58" s="6">
        <v>601.62</v>
      </c>
      <c r="U58" s="2"/>
      <c r="V58" s="7">
        <f t="shared" si="33"/>
        <v>1.4329072989337772E-3</v>
      </c>
      <c r="W58" s="2"/>
      <c r="X58" s="6">
        <f t="shared" si="34"/>
        <v>1242.9099999999999</v>
      </c>
      <c r="Y58" s="2"/>
      <c r="Z58" s="7">
        <f t="shared" si="35"/>
        <v>2.0659386323592961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7270.24</v>
      </c>
      <c r="E59" s="1"/>
      <c r="F59" s="5">
        <f t="shared" ref="F59:F62" si="36">IF(D$12=0,0,D59/D$12)</f>
        <v>9.0880248150138621E-3</v>
      </c>
      <c r="G59" s="1"/>
      <c r="H59" s="1">
        <f>SUM(OSRRefH22_11x_0)</f>
        <v>5249.81</v>
      </c>
      <c r="I59" s="1"/>
      <c r="J59" s="5">
        <f t="shared" ref="J59:J62" si="37">IF(H$12=0,0,H59/H$12)</f>
        <v>2.7807817192738987E-2</v>
      </c>
      <c r="K59" s="1"/>
      <c r="L59" s="1">
        <f t="shared" ref="L59:L62" si="38">+D59-H59</f>
        <v>2020.4299999999994</v>
      </c>
      <c r="M59" s="1"/>
      <c r="N59" s="5">
        <f t="shared" ref="N59:N62" si="39">IF(H59=0,0,L59/H59)</f>
        <v>0.38485773770860265</v>
      </c>
      <c r="O59" s="14"/>
      <c r="P59" s="1">
        <f>SUM(OSRRefP22_11x_0)</f>
        <v>25471.57</v>
      </c>
      <c r="Q59" s="1"/>
      <c r="R59" s="5">
        <f t="shared" ref="R59:R62" si="40">IF(P$12=0,0,P59/P$12)</f>
        <v>1.463724662215065E-2</v>
      </c>
      <c r="S59" s="1"/>
      <c r="T59" s="1">
        <f>SUM(OSRRefT22_11x_0)</f>
        <v>15956.92</v>
      </c>
      <c r="U59" s="1"/>
      <c r="V59" s="5">
        <f t="shared" ref="V59:V62" si="41">IF(T$12=0,0,T59/T$12)</f>
        <v>3.8005364077827147E-2</v>
      </c>
      <c r="W59" s="1"/>
      <c r="X59" s="1">
        <f t="shared" ref="X59:X62" si="42">+P59-T59</f>
        <v>9514.65</v>
      </c>
      <c r="Y59" s="1"/>
      <c r="Z59" s="5">
        <f t="shared" ref="Z59:Z62" si="43">IF(T59=0,0,X59/T59)</f>
        <v>0.59627108489608271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1438.62</v>
      </c>
      <c r="E60" s="2"/>
      <c r="F60" s="7">
        <f t="shared" si="36"/>
        <v>1.7983194859282831E-3</v>
      </c>
      <c r="G60" s="2"/>
      <c r="H60" s="6"/>
      <c r="I60" s="2"/>
      <c r="J60" s="7">
        <f t="shared" si="37"/>
        <v>0</v>
      </c>
      <c r="K60" s="2"/>
      <c r="L60" s="6">
        <f t="shared" si="38"/>
        <v>1438.62</v>
      </c>
      <c r="M60" s="2"/>
      <c r="N60" s="7">
        <f t="shared" si="39"/>
        <v>0</v>
      </c>
      <c r="O60" s="11"/>
      <c r="P60" s="6">
        <v>2740.55</v>
      </c>
      <c r="Q60" s="2"/>
      <c r="R60" s="7">
        <f t="shared" si="40"/>
        <v>1.5748580174027344E-3</v>
      </c>
      <c r="S60" s="2"/>
      <c r="T60" s="6">
        <v>842.68</v>
      </c>
      <c r="U60" s="2"/>
      <c r="V60" s="7">
        <f t="shared" si="41"/>
        <v>2.0070514987292898E-3</v>
      </c>
      <c r="W60" s="2"/>
      <c r="X60" s="6">
        <f t="shared" si="42"/>
        <v>1897.8700000000003</v>
      </c>
      <c r="Y60" s="2"/>
      <c r="Z60" s="7">
        <f t="shared" si="43"/>
        <v>2.2521835097545932</v>
      </c>
    </row>
    <row r="61" spans="1:26" s="24" customFormat="1" hidden="1" outlineLevel="2" x14ac:dyDescent="0.25">
      <c r="A61" s="29"/>
      <c r="B61" s="11" t="str">
        <f>CONCATENATE("          ", "6285", " - ", "JANITORIAL SERVICES")</f>
        <v xml:space="preserve">          6285 - JANITORIAL SERVICES</v>
      </c>
      <c r="C61" s="11"/>
      <c r="D61" s="6">
        <v>4468.33</v>
      </c>
      <c r="E61" s="2"/>
      <c r="F61" s="7">
        <f t="shared" si="36"/>
        <v>5.585550672559763E-3</v>
      </c>
      <c r="G61" s="2"/>
      <c r="H61" s="6">
        <v>4194.1000000000004</v>
      </c>
      <c r="I61" s="2"/>
      <c r="J61" s="7">
        <f t="shared" si="37"/>
        <v>2.2215807065030273E-2</v>
      </c>
      <c r="K61" s="2"/>
      <c r="L61" s="6">
        <f t="shared" si="38"/>
        <v>274.22999999999956</v>
      </c>
      <c r="M61" s="2"/>
      <c r="N61" s="7">
        <f t="shared" si="39"/>
        <v>6.5384707088529018E-2</v>
      </c>
      <c r="O61" s="11"/>
      <c r="P61" s="6">
        <v>18073.32</v>
      </c>
      <c r="Q61" s="2"/>
      <c r="R61" s="7">
        <f t="shared" si="40"/>
        <v>1.0385839668345838E-2</v>
      </c>
      <c r="S61" s="2"/>
      <c r="T61" s="6">
        <v>11814.43</v>
      </c>
      <c r="U61" s="2"/>
      <c r="V61" s="7">
        <f t="shared" si="41"/>
        <v>2.8138996342778142E-2</v>
      </c>
      <c r="W61" s="2"/>
      <c r="X61" s="6">
        <f t="shared" si="42"/>
        <v>6258.8899999999994</v>
      </c>
      <c r="Y61" s="2"/>
      <c r="Z61" s="7">
        <f t="shared" si="43"/>
        <v>0.5297665651241743</v>
      </c>
    </row>
    <row r="62" spans="1:26" s="24" customFormat="1" hidden="1" outlineLevel="2" x14ac:dyDescent="0.25">
      <c r="A62" s="29"/>
      <c r="B62" s="11" t="str">
        <f>CONCATENATE("          ", "6286", " - ", "LAUNDRY EXPENSE")</f>
        <v xml:space="preserve">          6286 - LAUNDRY EXPENSE</v>
      </c>
      <c r="C62" s="11"/>
      <c r="D62" s="6">
        <v>1363.29</v>
      </c>
      <c r="E62" s="2"/>
      <c r="F62" s="7">
        <f t="shared" si="36"/>
        <v>1.7041546565258157E-3</v>
      </c>
      <c r="G62" s="2"/>
      <c r="H62" s="6">
        <v>1055.71</v>
      </c>
      <c r="I62" s="2"/>
      <c r="J62" s="7">
        <f t="shared" si="37"/>
        <v>5.5920101277087122E-3</v>
      </c>
      <c r="K62" s="2"/>
      <c r="L62" s="6">
        <f t="shared" si="38"/>
        <v>307.57999999999993</v>
      </c>
      <c r="M62" s="2"/>
      <c r="N62" s="7">
        <f t="shared" si="39"/>
        <v>0.29134894999573741</v>
      </c>
      <c r="O62" s="11"/>
      <c r="P62" s="6">
        <v>4657.7</v>
      </c>
      <c r="Q62" s="2"/>
      <c r="R62" s="7">
        <f t="shared" si="40"/>
        <v>2.6765489364020782E-3</v>
      </c>
      <c r="S62" s="2"/>
      <c r="T62" s="6">
        <v>3299.81</v>
      </c>
      <c r="U62" s="2"/>
      <c r="V62" s="7">
        <f t="shared" si="41"/>
        <v>7.8593162363197154E-3</v>
      </c>
      <c r="W62" s="2"/>
      <c r="X62" s="6">
        <f t="shared" si="42"/>
        <v>1357.8899999999999</v>
      </c>
      <c r="Y62" s="2"/>
      <c r="Z62" s="7">
        <f t="shared" si="43"/>
        <v>0.41150551092335619</v>
      </c>
    </row>
    <row r="63" spans="1:26" s="28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38827.379999999997</v>
      </c>
      <c r="E63" s="1"/>
      <c r="F63" s="5">
        <f t="shared" ref="F63:F70" si="44">IF(D$12=0,0,D63/D$12)</f>
        <v>4.8535425645091897E-2</v>
      </c>
      <c r="G63" s="1"/>
      <c r="H63" s="1">
        <f>SUM(OSRRefH22_12x_0)</f>
        <v>19578.689999999999</v>
      </c>
      <c r="I63" s="1"/>
      <c r="J63" s="5">
        <f t="shared" ref="J63:J70" si="45">IF(H$12=0,0,H63/H$12)</f>
        <v>0.10370673079469672</v>
      </c>
      <c r="K63" s="1"/>
      <c r="L63" s="1">
        <f t="shared" ref="L63:L70" si="46">+D63-H63</f>
        <v>19248.689999999999</v>
      </c>
      <c r="M63" s="1"/>
      <c r="N63" s="5">
        <f t="shared" ref="N63:N70" si="47">IF(H63=0,0,L63/H63)</f>
        <v>0.98314493972783679</v>
      </c>
      <c r="O63" s="14"/>
      <c r="P63" s="1">
        <f>SUM(OSRRefP22_12x_0)</f>
        <v>73238.5</v>
      </c>
      <c r="Q63" s="1"/>
      <c r="R63" s="5">
        <f t="shared" ref="R63:R70" si="48">IF(P$12=0,0,P63/P$12)</f>
        <v>4.2086529677455312E-2</v>
      </c>
      <c r="S63" s="1"/>
      <c r="T63" s="1">
        <f>SUM(OSRRefT22_12x_0)</f>
        <v>41630.160000000003</v>
      </c>
      <c r="U63" s="1"/>
      <c r="V63" s="5">
        <f t="shared" ref="V63:V70" si="49">IF(T$12=0,0,T63/T$12)</f>
        <v>9.9152554967888329E-2</v>
      </c>
      <c r="W63" s="1"/>
      <c r="X63" s="1">
        <f t="shared" ref="X63:X70" si="50">+P63-T63</f>
        <v>31608.339999999997</v>
      </c>
      <c r="Y63" s="1"/>
      <c r="Z63" s="5">
        <f t="shared" ref="Z63:Z70" si="51">IF(T63=0,0,X63/T63)</f>
        <v>0.75926539797108616</v>
      </c>
    </row>
    <row r="64" spans="1:26" s="24" customFormat="1" hidden="1" outlineLevel="2" x14ac:dyDescent="0.25">
      <c r="A64" s="29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4"/>
        <v>0</v>
      </c>
      <c r="G64" s="2"/>
      <c r="H64" s="6">
        <v>13495.55</v>
      </c>
      <c r="I64" s="2"/>
      <c r="J64" s="7">
        <f t="shared" si="45"/>
        <v>7.1484832273066748E-2</v>
      </c>
      <c r="K64" s="2"/>
      <c r="L64" s="6">
        <f t="shared" si="46"/>
        <v>-13495.55</v>
      </c>
      <c r="M64" s="2"/>
      <c r="N64" s="7">
        <f t="shared" si="47"/>
        <v>-1</v>
      </c>
      <c r="O64" s="11"/>
      <c r="P64" s="6"/>
      <c r="Q64" s="2"/>
      <c r="R64" s="7">
        <f t="shared" si="48"/>
        <v>0</v>
      </c>
      <c r="S64" s="2"/>
      <c r="T64" s="6">
        <v>24772.37</v>
      </c>
      <c r="U64" s="2"/>
      <c r="V64" s="7">
        <f t="shared" si="49"/>
        <v>5.9001545468714688E-2</v>
      </c>
      <c r="W64" s="2"/>
      <c r="X64" s="6">
        <f t="shared" si="50"/>
        <v>-24772.37</v>
      </c>
      <c r="Y64" s="2"/>
      <c r="Z64" s="7">
        <f t="shared" si="51"/>
        <v>-1</v>
      </c>
    </row>
    <row r="65" spans="1:26" s="24" customFormat="1" hidden="1" outlineLevel="2" x14ac:dyDescent="0.25">
      <c r="A65" s="29"/>
      <c r="B65" s="11" t="str">
        <f>CONCATENATE("          ", "6237", " - ", "JANITORIAL SUPPLIES")</f>
        <v xml:space="preserve">          6237 - JANITORIAL SUPPLIES</v>
      </c>
      <c r="C65" s="11"/>
      <c r="D65" s="6">
        <v>3394.94</v>
      </c>
      <c r="E65" s="2"/>
      <c r="F65" s="7">
        <f t="shared" si="44"/>
        <v>4.2437799805072679E-3</v>
      </c>
      <c r="G65" s="2"/>
      <c r="H65" s="6">
        <v>1798.45</v>
      </c>
      <c r="I65" s="2"/>
      <c r="J65" s="7">
        <f t="shared" si="45"/>
        <v>9.5262435841071257E-3</v>
      </c>
      <c r="K65" s="2"/>
      <c r="L65" s="6">
        <f t="shared" si="46"/>
        <v>1596.49</v>
      </c>
      <c r="M65" s="2"/>
      <c r="N65" s="7">
        <f t="shared" si="47"/>
        <v>0.88770330006394393</v>
      </c>
      <c r="O65" s="11"/>
      <c r="P65" s="6">
        <v>11093.93</v>
      </c>
      <c r="Q65" s="2"/>
      <c r="R65" s="7">
        <f t="shared" si="48"/>
        <v>6.3751307602505766E-3</v>
      </c>
      <c r="S65" s="2"/>
      <c r="T65" s="6">
        <v>5341.17</v>
      </c>
      <c r="U65" s="2"/>
      <c r="V65" s="7">
        <f t="shared" si="49"/>
        <v>1.2721321561527414E-2</v>
      </c>
      <c r="W65" s="2"/>
      <c r="X65" s="6">
        <f t="shared" si="50"/>
        <v>5752.76</v>
      </c>
      <c r="Y65" s="2"/>
      <c r="Z65" s="7">
        <f t="shared" si="51"/>
        <v>1.077059895116613</v>
      </c>
    </row>
    <row r="66" spans="1:26" s="24" customFormat="1" hidden="1" outlineLevel="2" x14ac:dyDescent="0.25">
      <c r="A66" s="29"/>
      <c r="B66" s="11" t="str">
        <f>CONCATENATE("          ", "6239", " - ", "KITCHEN SUPPLIES")</f>
        <v xml:space="preserve">          6239 - KITCHEN SUPPLIES</v>
      </c>
      <c r="C66" s="11"/>
      <c r="D66" s="6">
        <v>4817.3500000000004</v>
      </c>
      <c r="E66" s="2"/>
      <c r="F66" s="7">
        <f t="shared" si="44"/>
        <v>6.0218364651795581E-3</v>
      </c>
      <c r="G66" s="2"/>
      <c r="H66" s="6">
        <v>1244.3599999999999</v>
      </c>
      <c r="I66" s="2"/>
      <c r="J66" s="7">
        <f t="shared" si="45"/>
        <v>6.5912738559979651E-3</v>
      </c>
      <c r="K66" s="2"/>
      <c r="L66" s="6">
        <f t="shared" si="46"/>
        <v>3572.9900000000007</v>
      </c>
      <c r="M66" s="2"/>
      <c r="N66" s="7">
        <f t="shared" si="47"/>
        <v>2.8713475200102874</v>
      </c>
      <c r="O66" s="11"/>
      <c r="P66" s="6">
        <v>8862.2900000000009</v>
      </c>
      <c r="Q66" s="2"/>
      <c r="R66" s="7">
        <f t="shared" si="48"/>
        <v>5.09271805259823E-3</v>
      </c>
      <c r="S66" s="2"/>
      <c r="T66" s="6">
        <v>3140.61</v>
      </c>
      <c r="U66" s="2"/>
      <c r="V66" s="7">
        <f t="shared" si="49"/>
        <v>7.480141936944267E-3</v>
      </c>
      <c r="W66" s="2"/>
      <c r="X66" s="6">
        <f t="shared" si="50"/>
        <v>5721.68</v>
      </c>
      <c r="Y66" s="2"/>
      <c r="Z66" s="7">
        <f t="shared" si="51"/>
        <v>1.8218371590232472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6">
        <v>1034.22</v>
      </c>
      <c r="E67" s="2"/>
      <c r="F67" s="7">
        <f t="shared" si="44"/>
        <v>1.2928069808126879E-3</v>
      </c>
      <c r="G67" s="2"/>
      <c r="H67" s="6">
        <v>407.69</v>
      </c>
      <c r="I67" s="2"/>
      <c r="J67" s="7">
        <f t="shared" si="45"/>
        <v>2.1595008183739519E-3</v>
      </c>
      <c r="K67" s="2"/>
      <c r="L67" s="6">
        <f t="shared" si="46"/>
        <v>626.53</v>
      </c>
      <c r="M67" s="2"/>
      <c r="N67" s="7">
        <f t="shared" si="47"/>
        <v>1.536780396870171</v>
      </c>
      <c r="O67" s="11"/>
      <c r="P67" s="6">
        <v>2733.03</v>
      </c>
      <c r="Q67" s="2"/>
      <c r="R67" s="7">
        <f t="shared" si="48"/>
        <v>1.5705366467687856E-3</v>
      </c>
      <c r="S67" s="2"/>
      <c r="T67" s="6">
        <v>1278.07</v>
      </c>
      <c r="U67" s="2"/>
      <c r="V67" s="7">
        <f t="shared" si="49"/>
        <v>3.0440408090626849E-3</v>
      </c>
      <c r="W67" s="2"/>
      <c r="X67" s="6">
        <f t="shared" si="50"/>
        <v>1454.9600000000003</v>
      </c>
      <c r="Y67" s="2"/>
      <c r="Z67" s="7">
        <f t="shared" si="51"/>
        <v>1.1384039997809199</v>
      </c>
    </row>
    <row r="68" spans="1:26" s="24" customFormat="1" hidden="1" outlineLevel="2" x14ac:dyDescent="0.25">
      <c r="A68" s="29"/>
      <c r="B68" s="11" t="str">
        <f>CONCATENATE("          ", "6243", " - ", "PAPER SUPPLIES")</f>
        <v xml:space="preserve">          6243 - PAPER SUPPLIES</v>
      </c>
      <c r="C68" s="11"/>
      <c r="D68" s="6">
        <v>27629.87</v>
      </c>
      <c r="E68" s="2"/>
      <c r="F68" s="7">
        <f t="shared" si="44"/>
        <v>3.4538191888521842E-2</v>
      </c>
      <c r="G68" s="2"/>
      <c r="H68" s="6">
        <v>2632.64</v>
      </c>
      <c r="I68" s="2"/>
      <c r="J68" s="7">
        <f t="shared" si="45"/>
        <v>1.3944880263150924E-2</v>
      </c>
      <c r="K68" s="2"/>
      <c r="L68" s="6">
        <f t="shared" si="46"/>
        <v>24997.23</v>
      </c>
      <c r="M68" s="2"/>
      <c r="N68" s="7">
        <f t="shared" si="47"/>
        <v>9.4951189680320898</v>
      </c>
      <c r="O68" s="11"/>
      <c r="P68" s="6">
        <v>48470.91</v>
      </c>
      <c r="Q68" s="2"/>
      <c r="R68" s="7">
        <f t="shared" si="48"/>
        <v>2.7853825408880106E-2</v>
      </c>
      <c r="S68" s="2"/>
      <c r="T68" s="6">
        <v>3283.26</v>
      </c>
      <c r="U68" s="2"/>
      <c r="V68" s="7">
        <f t="shared" si="49"/>
        <v>7.8198983050718276E-3</v>
      </c>
      <c r="W68" s="2"/>
      <c r="X68" s="6">
        <f t="shared" si="50"/>
        <v>45187.65</v>
      </c>
      <c r="Y68" s="2"/>
      <c r="Z68" s="7">
        <f t="shared" si="51"/>
        <v>13.763043438533652</v>
      </c>
    </row>
    <row r="69" spans="1:26" s="24" customFormat="1" hidden="1" outlineLevel="2" x14ac:dyDescent="0.25">
      <c r="A69" s="29"/>
      <c r="B69" s="11" t="str">
        <f>CONCATENATE("          ", "6247", " - ", "STORE SUPPLIES")</f>
        <v xml:space="preserve">          6247 - STORE SUPPLIES</v>
      </c>
      <c r="C69" s="11"/>
      <c r="D69" s="6">
        <v>80.59</v>
      </c>
      <c r="E69" s="2"/>
      <c r="F69" s="7">
        <f t="shared" si="44"/>
        <v>1.0073999205555348E-4</v>
      </c>
      <c r="G69" s="2"/>
      <c r="H69" s="6"/>
      <c r="I69" s="2"/>
      <c r="J69" s="7">
        <f t="shared" si="45"/>
        <v>0</v>
      </c>
      <c r="K69" s="2"/>
      <c r="L69" s="6">
        <f t="shared" si="46"/>
        <v>80.59</v>
      </c>
      <c r="M69" s="2"/>
      <c r="N69" s="7">
        <f t="shared" si="47"/>
        <v>0</v>
      </c>
      <c r="O69" s="11"/>
      <c r="P69" s="6">
        <v>207.93</v>
      </c>
      <c r="Q69" s="2"/>
      <c r="R69" s="7">
        <f t="shared" si="48"/>
        <v>1.1948704732938664E-4</v>
      </c>
      <c r="S69" s="2"/>
      <c r="T69" s="6"/>
      <c r="U69" s="2"/>
      <c r="V69" s="7">
        <f t="shared" si="49"/>
        <v>0</v>
      </c>
      <c r="W69" s="2"/>
      <c r="X69" s="6">
        <f t="shared" si="50"/>
        <v>207.93</v>
      </c>
      <c r="Y69" s="2"/>
      <c r="Z69" s="7">
        <f t="shared" si="51"/>
        <v>0</v>
      </c>
    </row>
    <row r="70" spans="1:26" s="24" customFormat="1" hidden="1" outlineLevel="2" x14ac:dyDescent="0.25">
      <c r="A70" s="29"/>
      <c r="B70" s="11" t="str">
        <f>CONCATENATE("          ", "6248", " - ", "UNIFORMS")</f>
        <v xml:space="preserve">          6248 - UNIFORMS</v>
      </c>
      <c r="C70" s="11"/>
      <c r="D70" s="6">
        <v>1870.41</v>
      </c>
      <c r="E70" s="2"/>
      <c r="F70" s="7">
        <f t="shared" si="44"/>
        <v>2.3380703380149869E-3</v>
      </c>
      <c r="G70" s="2"/>
      <c r="H70" s="6"/>
      <c r="I70" s="2"/>
      <c r="J70" s="7">
        <f t="shared" si="45"/>
        <v>0</v>
      </c>
      <c r="K70" s="2"/>
      <c r="L70" s="6">
        <f t="shared" si="46"/>
        <v>1870.41</v>
      </c>
      <c r="M70" s="2"/>
      <c r="N70" s="7">
        <f t="shared" si="47"/>
        <v>0</v>
      </c>
      <c r="O70" s="11"/>
      <c r="P70" s="6">
        <v>1870.41</v>
      </c>
      <c r="Q70" s="2"/>
      <c r="R70" s="7">
        <f t="shared" si="48"/>
        <v>1.074831761628231E-3</v>
      </c>
      <c r="S70" s="2"/>
      <c r="T70" s="6">
        <v>3814.68</v>
      </c>
      <c r="U70" s="2"/>
      <c r="V70" s="7">
        <f t="shared" si="49"/>
        <v>9.0856068865674353E-3</v>
      </c>
      <c r="W70" s="2"/>
      <c r="X70" s="6">
        <f t="shared" si="50"/>
        <v>-1944.2699999999998</v>
      </c>
      <c r="Y70" s="2"/>
      <c r="Z70" s="7">
        <f t="shared" si="51"/>
        <v>-0.50968102173707885</v>
      </c>
    </row>
    <row r="71" spans="1:26" s="28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SUM(OSRRefD22_13x_0)</f>
        <v>459</v>
      </c>
      <c r="E71" s="1"/>
      <c r="F71" s="5">
        <f t="shared" ref="F71:F74" si="52">IF(D$12=0,0,D71/D$12)</f>
        <v>5.7376419349173657E-4</v>
      </c>
      <c r="G71" s="1"/>
      <c r="H71" s="1">
        <f>SUM(OSRRefH22_13x_0)</f>
        <v>259</v>
      </c>
      <c r="I71" s="1"/>
      <c r="J71" s="5">
        <f t="shared" ref="J71:J74" si="53">IF(H$12=0,0,H71/H$12)</f>
        <v>1.3719019646271763E-3</v>
      </c>
      <c r="K71" s="1"/>
      <c r="L71" s="1">
        <f t="shared" ref="L71:L74" si="54">+D71-H71</f>
        <v>200</v>
      </c>
      <c r="M71" s="1"/>
      <c r="N71" s="5">
        <f t="shared" ref="N71:N74" si="55">IF(H71=0,0,L71/H71)</f>
        <v>0.77220077220077221</v>
      </c>
      <c r="O71" s="14"/>
      <c r="P71" s="1">
        <f>SUM(OSRRefP22_13x_0)</f>
        <v>1294</v>
      </c>
      <c r="Q71" s="1"/>
      <c r="R71" s="5">
        <f t="shared" ref="R71:R74" si="56">IF(P$12=0,0,P71/P$12)</f>
        <v>7.4359755323534992E-4</v>
      </c>
      <c r="S71" s="1"/>
      <c r="T71" s="1">
        <f>SUM(OSRRefT22_13x_0)</f>
        <v>1187</v>
      </c>
      <c r="U71" s="1"/>
      <c r="V71" s="5">
        <f t="shared" ref="V71:V74" si="57">IF(T$12=0,0,T71/T$12)</f>
        <v>2.8271350085342798E-3</v>
      </c>
      <c r="W71" s="1"/>
      <c r="X71" s="1">
        <f t="shared" ref="X71:X74" si="58">+P71-T71</f>
        <v>107</v>
      </c>
      <c r="Y71" s="1"/>
      <c r="Z71" s="5">
        <f t="shared" ref="Z71:Z74" si="59">IF(T71=0,0,X71/T71)</f>
        <v>9.0143218197135638E-2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6">
        <v>459</v>
      </c>
      <c r="E72" s="2"/>
      <c r="F72" s="7">
        <f t="shared" si="52"/>
        <v>5.7376419349173657E-4</v>
      </c>
      <c r="G72" s="2"/>
      <c r="H72" s="6">
        <v>259</v>
      </c>
      <c r="I72" s="2"/>
      <c r="J72" s="7">
        <f t="shared" si="53"/>
        <v>1.3719019646271763E-3</v>
      </c>
      <c r="K72" s="2"/>
      <c r="L72" s="6">
        <f t="shared" si="54"/>
        <v>200</v>
      </c>
      <c r="M72" s="2"/>
      <c r="N72" s="7">
        <f t="shared" si="55"/>
        <v>0.77220077220077221</v>
      </c>
      <c r="O72" s="11"/>
      <c r="P72" s="6">
        <v>1294</v>
      </c>
      <c r="Q72" s="2"/>
      <c r="R72" s="7">
        <f t="shared" si="56"/>
        <v>7.4359755323534992E-4</v>
      </c>
      <c r="S72" s="2"/>
      <c r="T72" s="6">
        <v>1187</v>
      </c>
      <c r="U72" s="2"/>
      <c r="V72" s="7">
        <f t="shared" si="57"/>
        <v>2.8271350085342798E-3</v>
      </c>
      <c r="W72" s="2"/>
      <c r="X72" s="6">
        <f t="shared" si="58"/>
        <v>107</v>
      </c>
      <c r="Y72" s="2"/>
      <c r="Z72" s="7">
        <f t="shared" si="59"/>
        <v>9.0143218197135638E-2</v>
      </c>
    </row>
    <row r="73" spans="1:26" s="28" customFormat="1" outlineLevel="1" collapsed="1" x14ac:dyDescent="0.25">
      <c r="A73" s="27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SUM(OSRRefD22_14x_0)</f>
        <v>0</v>
      </c>
      <c r="E73" s="1"/>
      <c r="F73" s="5">
        <f t="shared" si="52"/>
        <v>0</v>
      </c>
      <c r="G73" s="1"/>
      <c r="H73" s="1">
        <f>SUM(OSRRefH22_14x_0)</f>
        <v>385</v>
      </c>
      <c r="I73" s="1"/>
      <c r="J73" s="5">
        <f t="shared" si="53"/>
        <v>2.0393137312025595E-3</v>
      </c>
      <c r="K73" s="1"/>
      <c r="L73" s="1">
        <f t="shared" si="54"/>
        <v>-385</v>
      </c>
      <c r="M73" s="1"/>
      <c r="N73" s="5">
        <f t="shared" si="55"/>
        <v>-1</v>
      </c>
      <c r="O73" s="14"/>
      <c r="P73" s="1">
        <f>SUM(OSRRefP22_14x_0)</f>
        <v>0</v>
      </c>
      <c r="Q73" s="1"/>
      <c r="R73" s="5">
        <f t="shared" si="56"/>
        <v>0</v>
      </c>
      <c r="S73" s="1"/>
      <c r="T73" s="1">
        <f>SUM(OSRRefT22_14x_0)</f>
        <v>735</v>
      </c>
      <c r="U73" s="1"/>
      <c r="V73" s="5">
        <f t="shared" si="57"/>
        <v>1.750584862066298E-3</v>
      </c>
      <c r="W73" s="1"/>
      <c r="X73" s="1">
        <f t="shared" si="58"/>
        <v>-735</v>
      </c>
      <c r="Y73" s="1"/>
      <c r="Z73" s="5">
        <f t="shared" si="59"/>
        <v>-1</v>
      </c>
    </row>
    <row r="74" spans="1:26" s="24" customFormat="1" hidden="1" outlineLevel="2" x14ac:dyDescent="0.25">
      <c r="A74" s="29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52"/>
        <v>0</v>
      </c>
      <c r="G74" s="2"/>
      <c r="H74" s="6">
        <v>385</v>
      </c>
      <c r="I74" s="2"/>
      <c r="J74" s="7">
        <f t="shared" si="53"/>
        <v>2.0393137312025595E-3</v>
      </c>
      <c r="K74" s="2"/>
      <c r="L74" s="6">
        <f t="shared" si="54"/>
        <v>-385</v>
      </c>
      <c r="M74" s="2"/>
      <c r="N74" s="7">
        <f t="shared" si="55"/>
        <v>-1</v>
      </c>
      <c r="O74" s="11"/>
      <c r="P74" s="6"/>
      <c r="Q74" s="2"/>
      <c r="R74" s="7">
        <f t="shared" si="56"/>
        <v>0</v>
      </c>
      <c r="S74" s="2"/>
      <c r="T74" s="6">
        <v>735</v>
      </c>
      <c r="U74" s="2"/>
      <c r="V74" s="7">
        <f t="shared" si="57"/>
        <v>1.750584862066298E-3</v>
      </c>
      <c r="W74" s="2"/>
      <c r="X74" s="6">
        <f t="shared" si="58"/>
        <v>-735</v>
      </c>
      <c r="Y74" s="2"/>
      <c r="Z74" s="7">
        <f t="shared" si="59"/>
        <v>-1</v>
      </c>
    </row>
    <row r="75" spans="1:26" s="56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292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6" t="s">
        <v>276</v>
      </c>
      <c r="C78" s="26"/>
      <c r="D78" s="22">
        <f>+D21-D23+D76</f>
        <v>269260.55000000005</v>
      </c>
      <c r="E78" s="13"/>
      <c r="F78" s="20">
        <f>IF(D$12=0,0,D78/D$12)</f>
        <v>0.33658401374704017</v>
      </c>
      <c r="G78" s="13"/>
      <c r="H78" s="22">
        <f>+H21-H23+H76</f>
        <v>-48503.710000000021</v>
      </c>
      <c r="I78" s="13"/>
      <c r="J78" s="20">
        <f>IF(H$12=0,0,H78/H$12)</f>
        <v>-0.25692021251238167</v>
      </c>
      <c r="K78" s="15"/>
      <c r="L78" s="22">
        <f>+D78-H78</f>
        <v>317764.26000000007</v>
      </c>
      <c r="M78" s="15"/>
      <c r="N78" s="20">
        <f>IF(H78=0,0,L78/H78)</f>
        <v>-6.5513392686868679</v>
      </c>
      <c r="O78" s="25"/>
      <c r="P78" s="22">
        <f>+P21-P23+P76</f>
        <v>514646.51999999967</v>
      </c>
      <c r="Q78" s="13"/>
      <c r="R78" s="20">
        <f>IF(P$12=0,0,P78/P$12)</f>
        <v>0.29574180297765634</v>
      </c>
      <c r="S78" s="13"/>
      <c r="T78" s="22">
        <f>+T21-T23+T76</f>
        <v>-187209.38</v>
      </c>
      <c r="U78" s="13"/>
      <c r="V78" s="20">
        <f>IF(T$12=0,0,T78/T$12)</f>
        <v>-0.44588558729907096</v>
      </c>
      <c r="W78" s="15"/>
      <c r="X78" s="22">
        <f>+P78-T78</f>
        <v>701855.89999999967</v>
      </c>
      <c r="Y78" s="15"/>
      <c r="Z78" s="20">
        <f>IF(T78=0,0,X78/T78)</f>
        <v>-3.7490423823848977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127</v>
      </c>
      <c r="C80" s="10"/>
      <c r="D80" s="4">
        <v>84776.55</v>
      </c>
      <c r="E80" s="4"/>
      <c r="F80" s="12">
        <f>IF(D$12=0,0,D80/D$12)</f>
        <v>0.10597330901473176</v>
      </c>
      <c r="G80" s="4"/>
      <c r="H80" s="4">
        <v>48143.64</v>
      </c>
      <c r="I80" s="4"/>
      <c r="J80" s="12">
        <f>IF(H$12=0,0,H80/H$12)</f>
        <v>0.25501295096642285</v>
      </c>
      <c r="K80" s="4"/>
      <c r="L80" s="4">
        <f>+D80-H80</f>
        <v>36632.910000000003</v>
      </c>
      <c r="M80" s="4"/>
      <c r="N80" s="12">
        <f>IF(H80=0,0,L80/H80)</f>
        <v>0.76090860599655541</v>
      </c>
      <c r="O80" s="10"/>
      <c r="P80" s="4">
        <v>201151.43</v>
      </c>
      <c r="Q80" s="4"/>
      <c r="R80" s="12">
        <f>IF(P$12=0,0,P80/P$12)</f>
        <v>0.11559173970463041</v>
      </c>
      <c r="S80" s="4"/>
      <c r="T80" s="4">
        <v>90950.64</v>
      </c>
      <c r="U80" s="4"/>
      <c r="V80" s="12">
        <f>IF(T$12=0,0,T80/T$12)</f>
        <v>0.21662151507379798</v>
      </c>
      <c r="W80" s="4"/>
      <c r="X80" s="4">
        <f>+P80-T80</f>
        <v>110200.79</v>
      </c>
      <c r="Y80" s="4"/>
      <c r="Z80" s="12">
        <f>IF(T80=0,0,X80/T80)</f>
        <v>1.2116549152375398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125</v>
      </c>
      <c r="C82" s="26"/>
      <c r="D82" s="33">
        <f>+D78-D80</f>
        <v>184484.00000000006</v>
      </c>
      <c r="E82" s="13"/>
      <c r="F82" s="31">
        <f>IF(D$12=0,0,D82/D$12)</f>
        <v>0.23061070473230841</v>
      </c>
      <c r="G82" s="13"/>
      <c r="H82" s="33">
        <f>+H78-H80</f>
        <v>-96647.35000000002</v>
      </c>
      <c r="I82" s="13"/>
      <c r="J82" s="31">
        <f>IF(H$12=0,0,H82/H$12)</f>
        <v>-0.51193316347880446</v>
      </c>
      <c r="K82" s="15"/>
      <c r="L82" s="33">
        <f>D82-H82</f>
        <v>281131.35000000009</v>
      </c>
      <c r="M82" s="15"/>
      <c r="N82" s="31">
        <f>IF(H82=0,0,L82/H82)</f>
        <v>-2.9088366106261581</v>
      </c>
      <c r="O82" s="25"/>
      <c r="P82" s="33">
        <f>+P78-P80</f>
        <v>313495.08999999968</v>
      </c>
      <c r="Q82" s="13"/>
      <c r="R82" s="31">
        <f>IF(P$12=0,0,P82/P$12)</f>
        <v>0.18015006327302593</v>
      </c>
      <c r="S82" s="13"/>
      <c r="T82" s="33">
        <f>+T78-T80</f>
        <v>-278160.02</v>
      </c>
      <c r="U82" s="13"/>
      <c r="V82" s="31">
        <f>IF(T$12=0,0,T82/T$12)</f>
        <v>-0.66250710237286903</v>
      </c>
      <c r="W82" s="15"/>
      <c r="X82" s="33">
        <f>P82-T82</f>
        <v>591655.10999999964</v>
      </c>
      <c r="Y82" s="15"/>
      <c r="Z82" s="31">
        <f>IF(T82=0,0,X82/T82)</f>
        <v>-2.1270314475818615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293</v>
      </c>
      <c r="C85" s="26"/>
      <c r="D85" s="34">
        <f>SUM(D82:D84)</f>
        <v>184484.00000000006</v>
      </c>
      <c r="E85" s="13"/>
      <c r="F85" s="30">
        <f>IF(D$12=0,0,D85/D$12)</f>
        <v>0.23061070473230841</v>
      </c>
      <c r="G85" s="13"/>
      <c r="H85" s="34">
        <f>SUM(H82:H84)</f>
        <v>-96647.35000000002</v>
      </c>
      <c r="I85" s="13"/>
      <c r="J85" s="30">
        <f>IF(H$12=0,0,H85/H$12)</f>
        <v>-0.51193316347880446</v>
      </c>
      <c r="K85" s="15"/>
      <c r="L85" s="34">
        <f>+D85-H85</f>
        <v>281131.35000000009</v>
      </c>
      <c r="M85" s="15"/>
      <c r="N85" s="30">
        <f>IF(H85=0,0,L85/H85)</f>
        <v>-2.9088366106261581</v>
      </c>
      <c r="O85" s="25"/>
      <c r="P85" s="34">
        <f>SUM(P82:P84)</f>
        <v>313495.08999999968</v>
      </c>
      <c r="Q85" s="13"/>
      <c r="R85" s="30">
        <f>IF(P$12=0,0,P85/P$12)</f>
        <v>0.18015006327302593</v>
      </c>
      <c r="S85" s="13"/>
      <c r="T85" s="34">
        <f>SUM(T82:T84)</f>
        <v>-278160.02</v>
      </c>
      <c r="U85" s="13"/>
      <c r="V85" s="30">
        <f>IF(T$12=0,0,T85/T$12)</f>
        <v>-0.66250710237286903</v>
      </c>
      <c r="W85" s="15"/>
      <c r="X85" s="34">
        <f>+P85-T85</f>
        <v>591655.10999999964</v>
      </c>
      <c r="Y85" s="15"/>
      <c r="Z85" s="30">
        <f>IF(T85=0,0,X85/T85)</f>
        <v>-2.1270314475818615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1">
        <v>44517.967041516204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7" t="s">
        <v>56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8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289059.61</v>
      </c>
      <c r="E12" s="4"/>
      <c r="F12" s="12"/>
      <c r="G12" s="4"/>
      <c r="H12" s="4">
        <f>SUM(OSRRefH13x_0)</f>
        <v>-12545.13</v>
      </c>
      <c r="I12" s="4"/>
      <c r="J12" s="12"/>
      <c r="K12" s="4"/>
      <c r="L12" s="4">
        <f t="shared" ref="L12:L15" si="0">+D12-H12</f>
        <v>301604.74</v>
      </c>
      <c r="M12" s="4"/>
      <c r="N12" s="12">
        <f t="shared" ref="N12:N15" si="1">IF(H12=0,0,L12/H12)</f>
        <v>-24.041579481440209</v>
      </c>
      <c r="O12" s="10"/>
      <c r="P12" s="4">
        <f>SUM(OSRRefP13x_0)</f>
        <v>493170.58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493170.58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--11.12</f>
        <v>11.12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11.12</v>
      </c>
      <c r="M13" s="2"/>
      <c r="N13" s="19">
        <f t="shared" si="1"/>
        <v>0</v>
      </c>
      <c r="O13" s="11"/>
      <c r="P13" s="2">
        <f>--73.95</f>
        <v>73.95</v>
      </c>
      <c r="Q13" s="2"/>
      <c r="R13" s="19"/>
      <c r="S13" s="2"/>
      <c r="T13" s="2">
        <f t="shared" ref="T13:T15" si="4">0</f>
        <v>0</v>
      </c>
      <c r="U13" s="2"/>
      <c r="V13" s="19"/>
      <c r="W13" s="2"/>
      <c r="X13" s="2">
        <f t="shared" si="2"/>
        <v>73.95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--287723.81</f>
        <v>287723.81</v>
      </c>
      <c r="E14" s="2"/>
      <c r="F14" s="19"/>
      <c r="G14" s="2"/>
      <c r="H14" s="2">
        <f>-12545.13</f>
        <v>-12545.13</v>
      </c>
      <c r="I14" s="2"/>
      <c r="J14" s="19"/>
      <c r="K14" s="2"/>
      <c r="L14" s="2">
        <f t="shared" si="0"/>
        <v>300268.94</v>
      </c>
      <c r="M14" s="2"/>
      <c r="N14" s="19">
        <f t="shared" si="1"/>
        <v>-23.935099915265926</v>
      </c>
      <c r="O14" s="11"/>
      <c r="P14" s="2">
        <f>--490461.67</f>
        <v>490461.67</v>
      </c>
      <c r="Q14" s="2"/>
      <c r="R14" s="19"/>
      <c r="S14" s="2"/>
      <c r="T14" s="2">
        <f t="shared" si="4"/>
        <v>0</v>
      </c>
      <c r="U14" s="2"/>
      <c r="V14" s="19"/>
      <c r="W14" s="2"/>
      <c r="X14" s="2">
        <f t="shared" si="2"/>
        <v>490461.67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--1324.68</f>
        <v>1324.68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1324.68</v>
      </c>
      <c r="M15" s="2"/>
      <c r="N15" s="19">
        <f t="shared" si="1"/>
        <v>0</v>
      </c>
      <c r="O15" s="11"/>
      <c r="P15" s="2">
        <f>--2634.96</f>
        <v>2634.96</v>
      </c>
      <c r="Q15" s="2"/>
      <c r="R15" s="19"/>
      <c r="S15" s="2"/>
      <c r="T15" s="2">
        <f t="shared" si="4"/>
        <v>0</v>
      </c>
      <c r="U15" s="2"/>
      <c r="V15" s="19"/>
      <c r="W15" s="2"/>
      <c r="X15" s="2">
        <f t="shared" si="2"/>
        <v>2634.96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256</v>
      </c>
      <c r="C17" s="10"/>
      <c r="D17" s="4">
        <f>SUM(OSRRefD16x_0)</f>
        <v>71470.430000000008</v>
      </c>
      <c r="E17" s="4"/>
      <c r="F17" s="12">
        <f t="shared" ref="F17:F19" si="5">IF(D$12=0,0,D17/D$12)</f>
        <v>0.24725152711580844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71470.430000000008</v>
      </c>
      <c r="M17" s="4"/>
      <c r="N17" s="12">
        <f t="shared" ref="N17:N19" si="8">IF(H17=0,0,L17/H17)</f>
        <v>0</v>
      </c>
      <c r="O17" s="10"/>
      <c r="P17" s="4">
        <f>SUM(OSRRefP16x_0)</f>
        <v>161526.97</v>
      </c>
      <c r="Q17" s="4"/>
      <c r="R17" s="12">
        <f t="shared" ref="R17:R19" si="9">IF(P$12=0,0,P17/P$12)</f>
        <v>0.32752758690512318</v>
      </c>
      <c r="S17" s="4"/>
      <c r="T17" s="4">
        <f>SUM(OSRRefT16x_0)</f>
        <v>0</v>
      </c>
      <c r="U17" s="4"/>
      <c r="V17" s="12">
        <f t="shared" ref="V17:V19" si="10">IF(T$12=0,0,T17/T$12)</f>
        <v>0</v>
      </c>
      <c r="W17" s="4"/>
      <c r="X17" s="4">
        <f t="shared" ref="X17:X19" si="11">+P17-T17</f>
        <v>161526.97</v>
      </c>
      <c r="Y17" s="4"/>
      <c r="Z17" s="12">
        <f t="shared" ref="Z17:Z19" si="12">IF(T17=0,0,X17/T17)</f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68749.490000000005</v>
      </c>
      <c r="E18" s="2"/>
      <c r="F18" s="19">
        <f t="shared" si="5"/>
        <v>0.23783845138378207</v>
      </c>
      <c r="G18" s="2"/>
      <c r="H18" s="2"/>
      <c r="I18" s="2"/>
      <c r="J18" s="19">
        <f t="shared" si="6"/>
        <v>0</v>
      </c>
      <c r="K18" s="2"/>
      <c r="L18" s="2">
        <f t="shared" si="7"/>
        <v>68749.490000000005</v>
      </c>
      <c r="M18" s="2"/>
      <c r="N18" s="19">
        <f t="shared" si="8"/>
        <v>0</v>
      </c>
      <c r="O18" s="11"/>
      <c r="P18" s="2">
        <v>180026.03</v>
      </c>
      <c r="Q18" s="2"/>
      <c r="R18" s="19">
        <f t="shared" si="9"/>
        <v>0.3650380564063655</v>
      </c>
      <c r="S18" s="2"/>
      <c r="T18" s="2"/>
      <c r="U18" s="2"/>
      <c r="V18" s="19">
        <f t="shared" si="10"/>
        <v>0</v>
      </c>
      <c r="W18" s="2"/>
      <c r="X18" s="2">
        <f t="shared" si="11"/>
        <v>180026.03</v>
      </c>
      <c r="Y18" s="2"/>
      <c r="Z18" s="19">
        <f t="shared" si="12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2720.94</v>
      </c>
      <c r="E19" s="2"/>
      <c r="F19" s="19">
        <f t="shared" si="5"/>
        <v>9.4130757320263457E-3</v>
      </c>
      <c r="G19" s="2"/>
      <c r="H19" s="2"/>
      <c r="I19" s="2"/>
      <c r="J19" s="19">
        <f t="shared" si="6"/>
        <v>0</v>
      </c>
      <c r="K19" s="2"/>
      <c r="L19" s="2">
        <f t="shared" si="7"/>
        <v>2720.94</v>
      </c>
      <c r="M19" s="2"/>
      <c r="N19" s="19">
        <f t="shared" si="8"/>
        <v>0</v>
      </c>
      <c r="O19" s="11"/>
      <c r="P19" s="2">
        <v>-18499.060000000001</v>
      </c>
      <c r="Q19" s="2"/>
      <c r="R19" s="19">
        <f t="shared" si="9"/>
        <v>-3.7510469501242351E-2</v>
      </c>
      <c r="S19" s="2"/>
      <c r="T19" s="2"/>
      <c r="U19" s="2"/>
      <c r="V19" s="19">
        <f t="shared" si="10"/>
        <v>0</v>
      </c>
      <c r="W19" s="2"/>
      <c r="X19" s="2">
        <f t="shared" si="11"/>
        <v>-18499.060000000001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107</v>
      </c>
      <c r="C21" s="26"/>
      <c r="D21" s="22">
        <f>D12-D17</f>
        <v>217589.18</v>
      </c>
      <c r="E21" s="13"/>
      <c r="F21" s="20">
        <f>IF(D$12=0,0,D21/D$12)</f>
        <v>0.75274847288419167</v>
      </c>
      <c r="G21" s="13"/>
      <c r="H21" s="22">
        <f>H12-H17</f>
        <v>-12545.13</v>
      </c>
      <c r="I21" s="13"/>
      <c r="J21" s="20">
        <f>IF(H$12=0,0,H21/H$12)</f>
        <v>1</v>
      </c>
      <c r="K21" s="15"/>
      <c r="L21" s="22">
        <f>+D21-H21</f>
        <v>230134.31</v>
      </c>
      <c r="M21" s="15"/>
      <c r="N21" s="20">
        <f>IF(H21=0,0,L21/H21)</f>
        <v>-18.34451376749384</v>
      </c>
      <c r="O21" s="25"/>
      <c r="P21" s="22">
        <f>P12-P17</f>
        <v>331643.61</v>
      </c>
      <c r="Q21" s="13"/>
      <c r="R21" s="20">
        <f>IF(P$12=0,0,P21/P$12)</f>
        <v>0.67247241309487682</v>
      </c>
      <c r="S21" s="13"/>
      <c r="T21" s="22">
        <f>T12-T17</f>
        <v>0</v>
      </c>
      <c r="U21" s="13"/>
      <c r="V21" s="20">
        <f>IF(T$12=0,0,T21/T$12)</f>
        <v>0</v>
      </c>
      <c r="W21" s="15"/>
      <c r="X21" s="22">
        <f>+P21-T21</f>
        <v>331643.61</v>
      </c>
      <c r="Y21" s="15"/>
      <c r="Z21" s="20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294</v>
      </c>
      <c r="C23" s="10"/>
      <c r="D23" s="21">
        <f>SUM(OSRRefD22x_0)</f>
        <v>199825.16999999995</v>
      </c>
      <c r="E23" s="21"/>
      <c r="F23" s="36">
        <f t="shared" ref="F23:F33" si="13">IF(D$12=0,0,D23/D$12)</f>
        <v>0.69129398603976522</v>
      </c>
      <c r="G23" s="21"/>
      <c r="H23" s="21">
        <f>SUM(OSRRefH22x_0)</f>
        <v>49851.29</v>
      </c>
      <c r="I23" s="21"/>
      <c r="J23" s="36">
        <f t="shared" ref="J23:J33" si="14">IF(H$12=0,0,H23/H$12)</f>
        <v>-3.9737563500736943</v>
      </c>
      <c r="K23" s="4"/>
      <c r="L23" s="21">
        <f t="shared" ref="L23:L33" si="15">+D23-H23</f>
        <v>149973.87999999995</v>
      </c>
      <c r="M23" s="4"/>
      <c r="N23" s="36">
        <f t="shared" ref="N23:N33" si="16">IF(H23=0,0,L23/H23)</f>
        <v>3.0084252584035429</v>
      </c>
      <c r="O23" s="10"/>
      <c r="P23" s="21">
        <f>SUM(OSRRefP22x_0)</f>
        <v>435228.75999999989</v>
      </c>
      <c r="Q23" s="21"/>
      <c r="R23" s="36">
        <f t="shared" ref="R23:R33" si="17">IF(P$12=0,0,P23/P$12)</f>
        <v>0.88251160480821844</v>
      </c>
      <c r="S23" s="21"/>
      <c r="T23" s="21">
        <f>SUM(OSRRefT22x_0)</f>
        <v>169497.89999999997</v>
      </c>
      <c r="U23" s="21"/>
      <c r="V23" s="36">
        <f t="shared" ref="V23:V33" si="18">IF(T$12=0,0,T23/T$12)</f>
        <v>0</v>
      </c>
      <c r="W23" s="4"/>
      <c r="X23" s="21">
        <f t="shared" ref="X23:X33" si="19">+P23-T23</f>
        <v>265730.85999999993</v>
      </c>
      <c r="Y23" s="4"/>
      <c r="Z23" s="36">
        <f t="shared" ref="Z23:Z33" si="20">IF(T23=0,0,X23/T23)</f>
        <v>1.5677531108055025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28618.34</v>
      </c>
      <c r="E24" s="1"/>
      <c r="F24" s="5">
        <f t="shared" si="13"/>
        <v>9.900497686273084E-2</v>
      </c>
      <c r="G24" s="1"/>
      <c r="H24" s="1">
        <f>SUM(OSRRefH22_0x_0)</f>
        <v>21530.590000000004</v>
      </c>
      <c r="I24" s="1"/>
      <c r="J24" s="5">
        <f t="shared" si="14"/>
        <v>-1.7162508479386029</v>
      </c>
      <c r="K24" s="1"/>
      <c r="L24" s="1">
        <f t="shared" si="15"/>
        <v>7087.7499999999964</v>
      </c>
      <c r="M24" s="1"/>
      <c r="N24" s="5">
        <f t="shared" si="16"/>
        <v>0.32919441594494137</v>
      </c>
      <c r="O24" s="14"/>
      <c r="P24" s="1">
        <f>SUM(OSRRefP22_0x_0)</f>
        <v>90338.87000000001</v>
      </c>
      <c r="Q24" s="1"/>
      <c r="R24" s="5">
        <f t="shared" si="17"/>
        <v>0.18317976307508044</v>
      </c>
      <c r="S24" s="1"/>
      <c r="T24" s="1">
        <f>SUM(OSRRefT22_0x_0)</f>
        <v>78974.309999999983</v>
      </c>
      <c r="U24" s="1"/>
      <c r="V24" s="5">
        <f t="shared" si="18"/>
        <v>0</v>
      </c>
      <c r="W24" s="1"/>
      <c r="X24" s="1">
        <f t="shared" si="19"/>
        <v>11364.560000000027</v>
      </c>
      <c r="Y24" s="1"/>
      <c r="Z24" s="5">
        <f t="shared" si="20"/>
        <v>0.14390198534181595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6">
        <v>5036.92</v>
      </c>
      <c r="E25" s="2"/>
      <c r="F25" s="7">
        <f t="shared" si="13"/>
        <v>1.7425194754811992E-2</v>
      </c>
      <c r="G25" s="2"/>
      <c r="H25" s="6">
        <v>2520.7600000000002</v>
      </c>
      <c r="I25" s="2"/>
      <c r="J25" s="7">
        <f t="shared" si="14"/>
        <v>-0.20093534303749744</v>
      </c>
      <c r="K25" s="2"/>
      <c r="L25" s="6">
        <f t="shared" si="15"/>
        <v>2516.16</v>
      </c>
      <c r="M25" s="2"/>
      <c r="N25" s="7">
        <f t="shared" si="16"/>
        <v>0.9981751535251272</v>
      </c>
      <c r="O25" s="11"/>
      <c r="P25" s="6">
        <v>12756.06</v>
      </c>
      <c r="Q25" s="2"/>
      <c r="R25" s="7">
        <f t="shared" si="17"/>
        <v>2.5865411517451017E-2</v>
      </c>
      <c r="S25" s="2"/>
      <c r="T25" s="6">
        <v>7113.52</v>
      </c>
      <c r="U25" s="2"/>
      <c r="V25" s="7">
        <f t="shared" si="18"/>
        <v>0</v>
      </c>
      <c r="W25" s="2"/>
      <c r="X25" s="6">
        <f t="shared" si="19"/>
        <v>5642.5399999999991</v>
      </c>
      <c r="Y25" s="2"/>
      <c r="Z25" s="7">
        <f t="shared" si="20"/>
        <v>0.79321348643147116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6">
        <v>3718.33</v>
      </c>
      <c r="E26" s="2"/>
      <c r="F26" s="7">
        <f t="shared" si="13"/>
        <v>1.2863540499483827E-2</v>
      </c>
      <c r="G26" s="2"/>
      <c r="H26" s="6">
        <v>889.03</v>
      </c>
      <c r="I26" s="2"/>
      <c r="J26" s="7">
        <f t="shared" si="14"/>
        <v>-7.086654343159457E-2</v>
      </c>
      <c r="K26" s="2"/>
      <c r="L26" s="6">
        <f t="shared" si="15"/>
        <v>2829.3</v>
      </c>
      <c r="M26" s="2"/>
      <c r="N26" s="7">
        <f t="shared" si="16"/>
        <v>3.1824572849060213</v>
      </c>
      <c r="O26" s="11"/>
      <c r="P26" s="6">
        <v>7477.54</v>
      </c>
      <c r="Q26" s="2"/>
      <c r="R26" s="7">
        <f t="shared" si="17"/>
        <v>1.5162177760076442E-2</v>
      </c>
      <c r="S26" s="2"/>
      <c r="T26" s="6">
        <v>3335.49</v>
      </c>
      <c r="U26" s="2"/>
      <c r="V26" s="7">
        <f t="shared" si="18"/>
        <v>0</v>
      </c>
      <c r="W26" s="2"/>
      <c r="X26" s="6">
        <f t="shared" si="19"/>
        <v>4142.05</v>
      </c>
      <c r="Y26" s="2"/>
      <c r="Z26" s="7">
        <f t="shared" si="20"/>
        <v>1.2418115479284904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6">
        <v>11951.73</v>
      </c>
      <c r="E27" s="2"/>
      <c r="F27" s="7">
        <f t="shared" si="13"/>
        <v>4.1346938785394471E-2</v>
      </c>
      <c r="G27" s="2"/>
      <c r="H27" s="6">
        <v>12616.92</v>
      </c>
      <c r="I27" s="2"/>
      <c r="J27" s="7">
        <f t="shared" si="14"/>
        <v>-1.0057225393439526</v>
      </c>
      <c r="K27" s="2"/>
      <c r="L27" s="6">
        <f t="shared" si="15"/>
        <v>-665.19000000000051</v>
      </c>
      <c r="M27" s="2"/>
      <c r="N27" s="7">
        <f t="shared" si="16"/>
        <v>-5.272205894941083E-2</v>
      </c>
      <c r="O27" s="11"/>
      <c r="P27" s="6">
        <v>47590.69</v>
      </c>
      <c r="Q27" s="2"/>
      <c r="R27" s="7">
        <f t="shared" si="17"/>
        <v>9.6499450555221689E-2</v>
      </c>
      <c r="S27" s="2"/>
      <c r="T27" s="6">
        <v>50467.74</v>
      </c>
      <c r="U27" s="2"/>
      <c r="V27" s="7">
        <f t="shared" si="18"/>
        <v>0</v>
      </c>
      <c r="W27" s="2"/>
      <c r="X27" s="6">
        <f t="shared" si="19"/>
        <v>-2877.0499999999956</v>
      </c>
      <c r="Y27" s="2"/>
      <c r="Z27" s="7">
        <f t="shared" si="20"/>
        <v>-5.7007704327556488E-2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268.55</v>
      </c>
      <c r="E28" s="2"/>
      <c r="F28" s="7">
        <f t="shared" si="13"/>
        <v>9.290471263003504E-4</v>
      </c>
      <c r="G28" s="2"/>
      <c r="H28" s="6">
        <v>53.87</v>
      </c>
      <c r="I28" s="2"/>
      <c r="J28" s="7">
        <f t="shared" si="14"/>
        <v>-4.2940965936582561E-3</v>
      </c>
      <c r="K28" s="2"/>
      <c r="L28" s="6">
        <f t="shared" si="15"/>
        <v>214.68</v>
      </c>
      <c r="M28" s="2"/>
      <c r="N28" s="7">
        <f t="shared" si="16"/>
        <v>3.9851494338221647</v>
      </c>
      <c r="O28" s="11"/>
      <c r="P28" s="6">
        <v>540.04999999999995</v>
      </c>
      <c r="Q28" s="2"/>
      <c r="R28" s="7">
        <f t="shared" si="17"/>
        <v>1.0950572112391618E-3</v>
      </c>
      <c r="S28" s="2"/>
      <c r="T28" s="6">
        <v>210.82</v>
      </c>
      <c r="U28" s="2"/>
      <c r="V28" s="7">
        <f t="shared" si="18"/>
        <v>0</v>
      </c>
      <c r="W28" s="2"/>
      <c r="X28" s="6">
        <f t="shared" si="19"/>
        <v>329.22999999999996</v>
      </c>
      <c r="Y28" s="2"/>
      <c r="Z28" s="7">
        <f t="shared" si="20"/>
        <v>1.561663978749644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6">
        <v>595.52</v>
      </c>
      <c r="E29" s="2"/>
      <c r="F29" s="7">
        <f t="shared" si="13"/>
        <v>2.0601978948217637E-3</v>
      </c>
      <c r="G29" s="2"/>
      <c r="H29" s="6">
        <v>485.07</v>
      </c>
      <c r="I29" s="2"/>
      <c r="J29" s="7">
        <f t="shared" si="14"/>
        <v>-3.8666000272615748E-2</v>
      </c>
      <c r="K29" s="2"/>
      <c r="L29" s="6">
        <f t="shared" si="15"/>
        <v>110.44999999999999</v>
      </c>
      <c r="M29" s="2"/>
      <c r="N29" s="7">
        <f t="shared" si="16"/>
        <v>0.22769909497598284</v>
      </c>
      <c r="O29" s="11"/>
      <c r="P29" s="6">
        <v>2605.4699999999998</v>
      </c>
      <c r="Q29" s="2"/>
      <c r="R29" s="7">
        <f t="shared" si="17"/>
        <v>5.2831010316957668E-3</v>
      </c>
      <c r="S29" s="2"/>
      <c r="T29" s="6">
        <v>2182.81</v>
      </c>
      <c r="U29" s="2"/>
      <c r="V29" s="7">
        <f t="shared" si="18"/>
        <v>0</v>
      </c>
      <c r="W29" s="2"/>
      <c r="X29" s="6">
        <f t="shared" si="19"/>
        <v>422.65999999999985</v>
      </c>
      <c r="Y29" s="2"/>
      <c r="Z29" s="7">
        <f t="shared" si="20"/>
        <v>0.19363114517525568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6">
        <v>898.11</v>
      </c>
      <c r="E30" s="2"/>
      <c r="F30" s="7">
        <f t="shared" si="13"/>
        <v>3.1070061984792689E-3</v>
      </c>
      <c r="G30" s="2"/>
      <c r="H30" s="6">
        <v>546.80999999999995</v>
      </c>
      <c r="I30" s="2"/>
      <c r="J30" s="7">
        <f t="shared" si="14"/>
        <v>-4.3587431935739204E-2</v>
      </c>
      <c r="K30" s="2"/>
      <c r="L30" s="6">
        <f t="shared" si="15"/>
        <v>351.30000000000007</v>
      </c>
      <c r="M30" s="2"/>
      <c r="N30" s="7">
        <f t="shared" si="16"/>
        <v>0.64245350304493354</v>
      </c>
      <c r="O30" s="11"/>
      <c r="P30" s="6">
        <v>2883.93</v>
      </c>
      <c r="Q30" s="2"/>
      <c r="R30" s="7">
        <f t="shared" si="17"/>
        <v>5.8477332528635425E-3</v>
      </c>
      <c r="S30" s="2"/>
      <c r="T30" s="6">
        <v>2330.83</v>
      </c>
      <c r="U30" s="2"/>
      <c r="V30" s="7">
        <f t="shared" si="18"/>
        <v>0</v>
      </c>
      <c r="W30" s="2"/>
      <c r="X30" s="6">
        <f t="shared" si="19"/>
        <v>553.09999999999991</v>
      </c>
      <c r="Y30" s="2"/>
      <c r="Z30" s="7">
        <f t="shared" si="20"/>
        <v>0.23729744339999054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6">
        <v>2384.17</v>
      </c>
      <c r="E31" s="2"/>
      <c r="F31" s="7">
        <f t="shared" si="13"/>
        <v>8.2480219218451171E-3</v>
      </c>
      <c r="G31" s="2"/>
      <c r="H31" s="6">
        <v>1863.18</v>
      </c>
      <c r="I31" s="2"/>
      <c r="J31" s="7">
        <f t="shared" si="14"/>
        <v>-0.14851818992708726</v>
      </c>
      <c r="K31" s="2"/>
      <c r="L31" s="6">
        <f t="shared" si="15"/>
        <v>520.99</v>
      </c>
      <c r="M31" s="2"/>
      <c r="N31" s="7">
        <f t="shared" si="16"/>
        <v>0.27962408355607082</v>
      </c>
      <c r="O31" s="11"/>
      <c r="P31" s="6">
        <v>6618.71</v>
      </c>
      <c r="Q31" s="2"/>
      <c r="R31" s="7">
        <f t="shared" si="17"/>
        <v>1.3420731625961954E-2</v>
      </c>
      <c r="S31" s="2"/>
      <c r="T31" s="6">
        <v>5525.79</v>
      </c>
      <c r="U31" s="2"/>
      <c r="V31" s="7">
        <f t="shared" si="18"/>
        <v>0</v>
      </c>
      <c r="W31" s="2"/>
      <c r="X31" s="6">
        <f t="shared" si="19"/>
        <v>1092.92</v>
      </c>
      <c r="Y31" s="2"/>
      <c r="Z31" s="7">
        <f t="shared" si="20"/>
        <v>0.19778529404845283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6">
        <v>2152.41</v>
      </c>
      <c r="E32" s="2"/>
      <c r="F32" s="7">
        <f t="shared" si="13"/>
        <v>7.4462495815309513E-3</v>
      </c>
      <c r="G32" s="2"/>
      <c r="H32" s="6">
        <v>1419.77</v>
      </c>
      <c r="I32" s="2"/>
      <c r="J32" s="7">
        <f t="shared" si="14"/>
        <v>-0.11317300020007764</v>
      </c>
      <c r="K32" s="2"/>
      <c r="L32" s="6">
        <f t="shared" si="15"/>
        <v>732.63999999999987</v>
      </c>
      <c r="M32" s="2"/>
      <c r="N32" s="7">
        <f t="shared" si="16"/>
        <v>0.51602724384935583</v>
      </c>
      <c r="O32" s="11"/>
      <c r="P32" s="6">
        <v>5633.76</v>
      </c>
      <c r="Q32" s="2"/>
      <c r="R32" s="7">
        <f t="shared" si="17"/>
        <v>1.1423552475494382E-2</v>
      </c>
      <c r="S32" s="2"/>
      <c r="T32" s="6">
        <v>4259.33</v>
      </c>
      <c r="U32" s="2"/>
      <c r="V32" s="7">
        <f t="shared" si="18"/>
        <v>0</v>
      </c>
      <c r="W32" s="2"/>
      <c r="X32" s="6">
        <f t="shared" si="19"/>
        <v>1374.4300000000003</v>
      </c>
      <c r="Y32" s="2"/>
      <c r="Z32" s="7">
        <f t="shared" si="20"/>
        <v>0.32268690146102796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6">
        <v>1612.6</v>
      </c>
      <c r="E33" s="2"/>
      <c r="F33" s="7">
        <f t="shared" si="13"/>
        <v>5.5787801000630978E-3</v>
      </c>
      <c r="G33" s="2"/>
      <c r="H33" s="6">
        <v>1135.18</v>
      </c>
      <c r="I33" s="2"/>
      <c r="J33" s="7">
        <f t="shared" si="14"/>
        <v>-9.0487703196379804E-2</v>
      </c>
      <c r="K33" s="2"/>
      <c r="L33" s="6">
        <f t="shared" si="15"/>
        <v>477.41999999999985</v>
      </c>
      <c r="M33" s="2"/>
      <c r="N33" s="7">
        <f t="shared" si="16"/>
        <v>0.42056766327807027</v>
      </c>
      <c r="O33" s="11"/>
      <c r="P33" s="6">
        <v>4232.66</v>
      </c>
      <c r="Q33" s="2"/>
      <c r="R33" s="7">
        <f t="shared" si="17"/>
        <v>8.582547645076476E-3</v>
      </c>
      <c r="S33" s="2"/>
      <c r="T33" s="6">
        <v>3547.98</v>
      </c>
      <c r="U33" s="2"/>
      <c r="V33" s="7">
        <f t="shared" si="18"/>
        <v>0</v>
      </c>
      <c r="W33" s="2"/>
      <c r="X33" s="6">
        <f t="shared" si="19"/>
        <v>684.67999999999984</v>
      </c>
      <c r="Y33" s="2"/>
      <c r="Z33" s="7">
        <f t="shared" si="20"/>
        <v>0.1929774124995067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112128.89</v>
      </c>
      <c r="E34" s="1"/>
      <c r="F34" s="5">
        <f t="shared" ref="F34:F39" si="21">IF(D$12=0,0,D34/D$12)</f>
        <v>0.38790922744274098</v>
      </c>
      <c r="G34" s="1"/>
      <c r="H34" s="1">
        <f>SUM(OSRRefH22_1x_0)</f>
        <v>26690.87</v>
      </c>
      <c r="I34" s="1"/>
      <c r="J34" s="5">
        <f t="shared" ref="J34:J39" si="22">IF(H$12=0,0,H34/H$12)</f>
        <v>-2.1275881557225791</v>
      </c>
      <c r="K34" s="1"/>
      <c r="L34" s="1">
        <f t="shared" ref="L34:L39" si="23">+D34-H34</f>
        <v>85438.02</v>
      </c>
      <c r="M34" s="1"/>
      <c r="N34" s="5">
        <f t="shared" ref="N34:N39" si="24">IF(H34=0,0,L34/H34)</f>
        <v>3.2010204238378144</v>
      </c>
      <c r="O34" s="14"/>
      <c r="P34" s="1">
        <f>SUM(OSRRefP22_1x_0)</f>
        <v>233439.25000000003</v>
      </c>
      <c r="Q34" s="1"/>
      <c r="R34" s="5">
        <f t="shared" ref="R34:R39" si="25">IF(P$12=0,0,P34/P$12)</f>
        <v>0.47334382760626154</v>
      </c>
      <c r="S34" s="1"/>
      <c r="T34" s="1">
        <f>SUM(OSRRefT22_1x_0)</f>
        <v>85468.790000000008</v>
      </c>
      <c r="U34" s="1"/>
      <c r="V34" s="5">
        <f t="shared" ref="V34:V39" si="26">IF(T$12=0,0,T34/T$12)</f>
        <v>0</v>
      </c>
      <c r="W34" s="1"/>
      <c r="X34" s="1">
        <f t="shared" ref="X34:X39" si="27">+P34-T34</f>
        <v>147970.46000000002</v>
      </c>
      <c r="Y34" s="1"/>
      <c r="Z34" s="5">
        <f t="shared" ref="Z34:Z39" si="28">IF(T34=0,0,X34/T34)</f>
        <v>1.7312806230204032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6">
        <v>6374.71</v>
      </c>
      <c r="E35" s="2"/>
      <c r="F35" s="7">
        <f t="shared" si="21"/>
        <v>2.2053271295841021E-2</v>
      </c>
      <c r="G35" s="2"/>
      <c r="H35" s="6">
        <v>5277.11</v>
      </c>
      <c r="I35" s="2"/>
      <c r="J35" s="7">
        <f t="shared" si="22"/>
        <v>-0.42065008493335659</v>
      </c>
      <c r="K35" s="2"/>
      <c r="L35" s="6">
        <f t="shared" si="23"/>
        <v>1097.6000000000004</v>
      </c>
      <c r="M35" s="2"/>
      <c r="N35" s="7">
        <f t="shared" si="24"/>
        <v>0.20799263233095397</v>
      </c>
      <c r="O35" s="11"/>
      <c r="P35" s="6">
        <v>24930.46</v>
      </c>
      <c r="Q35" s="2"/>
      <c r="R35" s="7">
        <f t="shared" si="25"/>
        <v>5.0551393394147714E-2</v>
      </c>
      <c r="S35" s="2"/>
      <c r="T35" s="6">
        <v>18688.599999999999</v>
      </c>
      <c r="U35" s="2"/>
      <c r="V35" s="7">
        <f t="shared" si="26"/>
        <v>0</v>
      </c>
      <c r="W35" s="2"/>
      <c r="X35" s="6">
        <f t="shared" si="27"/>
        <v>6241.8600000000006</v>
      </c>
      <c r="Y35" s="2"/>
      <c r="Z35" s="7">
        <f t="shared" si="28"/>
        <v>0.33399291546718324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>
        <v>45034.81</v>
      </c>
      <c r="E36" s="2"/>
      <c r="F36" s="7">
        <f t="shared" si="21"/>
        <v>0.15579765709917065</v>
      </c>
      <c r="G36" s="2"/>
      <c r="H36" s="6">
        <v>24686.76</v>
      </c>
      <c r="I36" s="2"/>
      <c r="J36" s="7">
        <f t="shared" si="22"/>
        <v>-1.9678361244562632</v>
      </c>
      <c r="K36" s="2"/>
      <c r="L36" s="6">
        <f t="shared" si="23"/>
        <v>20348.05</v>
      </c>
      <c r="M36" s="2"/>
      <c r="N36" s="7">
        <f t="shared" si="24"/>
        <v>0.82424951674500824</v>
      </c>
      <c r="O36" s="11"/>
      <c r="P36" s="6">
        <v>107716.27</v>
      </c>
      <c r="Q36" s="2"/>
      <c r="R36" s="7">
        <f t="shared" si="25"/>
        <v>0.21841584710912804</v>
      </c>
      <c r="S36" s="2"/>
      <c r="T36" s="6">
        <v>66780.19</v>
      </c>
      <c r="U36" s="2"/>
      <c r="V36" s="7">
        <f t="shared" si="26"/>
        <v>0</v>
      </c>
      <c r="W36" s="2"/>
      <c r="X36" s="6">
        <f t="shared" si="27"/>
        <v>40936.080000000002</v>
      </c>
      <c r="Y36" s="2"/>
      <c r="Z36" s="7">
        <f t="shared" si="28"/>
        <v>0.6129973574498665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>
        <v>38422.629999999997</v>
      </c>
      <c r="E37" s="2"/>
      <c r="F37" s="7">
        <f t="shared" si="21"/>
        <v>0.13292285975200754</v>
      </c>
      <c r="G37" s="2"/>
      <c r="H37" s="6"/>
      <c r="I37" s="2"/>
      <c r="J37" s="7">
        <f t="shared" si="22"/>
        <v>0</v>
      </c>
      <c r="K37" s="2"/>
      <c r="L37" s="6">
        <f t="shared" si="23"/>
        <v>38422.629999999997</v>
      </c>
      <c r="M37" s="2"/>
      <c r="N37" s="7">
        <f t="shared" si="24"/>
        <v>0</v>
      </c>
      <c r="O37" s="11"/>
      <c r="P37" s="6">
        <v>50335.56</v>
      </c>
      <c r="Q37" s="2"/>
      <c r="R37" s="7">
        <f t="shared" si="25"/>
        <v>0.10206521240581706</v>
      </c>
      <c r="S37" s="2"/>
      <c r="T37" s="6"/>
      <c r="U37" s="2"/>
      <c r="V37" s="7">
        <f t="shared" si="26"/>
        <v>0</v>
      </c>
      <c r="W37" s="2"/>
      <c r="X37" s="6">
        <f t="shared" si="27"/>
        <v>50335.56</v>
      </c>
      <c r="Y37" s="2"/>
      <c r="Z37" s="7">
        <f t="shared" si="28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>
        <v>17484.52</v>
      </c>
      <c r="E38" s="2"/>
      <c r="F38" s="7">
        <f t="shared" si="21"/>
        <v>6.0487592853252663E-2</v>
      </c>
      <c r="G38" s="2"/>
      <c r="H38" s="6">
        <v>-3273</v>
      </c>
      <c r="I38" s="2"/>
      <c r="J38" s="7">
        <f t="shared" si="22"/>
        <v>0.26089805366704055</v>
      </c>
      <c r="K38" s="2"/>
      <c r="L38" s="6">
        <f t="shared" si="23"/>
        <v>20757.52</v>
      </c>
      <c r="M38" s="2"/>
      <c r="N38" s="7">
        <f t="shared" si="24"/>
        <v>-6.3420470516345864</v>
      </c>
      <c r="O38" s="11"/>
      <c r="P38" s="6">
        <v>44586.76</v>
      </c>
      <c r="Q38" s="2"/>
      <c r="R38" s="7">
        <f t="shared" si="25"/>
        <v>9.0408393785371383E-2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44586.76</v>
      </c>
      <c r="Y38" s="2"/>
      <c r="Z38" s="7">
        <f t="shared" si="28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4812.22</v>
      </c>
      <c r="E39" s="2"/>
      <c r="F39" s="7">
        <f t="shared" si="21"/>
        <v>1.6647846442469083E-2</v>
      </c>
      <c r="G39" s="2"/>
      <c r="H39" s="6"/>
      <c r="I39" s="2"/>
      <c r="J39" s="7">
        <f t="shared" si="22"/>
        <v>0</v>
      </c>
      <c r="K39" s="2"/>
      <c r="L39" s="6">
        <f t="shared" si="23"/>
        <v>4812.22</v>
      </c>
      <c r="M39" s="2"/>
      <c r="N39" s="7">
        <f t="shared" si="24"/>
        <v>0</v>
      </c>
      <c r="O39" s="11"/>
      <c r="P39" s="6">
        <v>5870.2</v>
      </c>
      <c r="Q39" s="2"/>
      <c r="R39" s="7">
        <f t="shared" si="25"/>
        <v>1.1902980911797293E-2</v>
      </c>
      <c r="S39" s="2"/>
      <c r="T39" s="6"/>
      <c r="U39" s="2"/>
      <c r="V39" s="7">
        <f t="shared" si="26"/>
        <v>0</v>
      </c>
      <c r="W39" s="2"/>
      <c r="X39" s="6">
        <f t="shared" si="27"/>
        <v>5870.2</v>
      </c>
      <c r="Y39" s="2"/>
      <c r="Z39" s="7">
        <f t="shared" si="28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62" si="29">IF(D$12=0,0,D40/D$12)</f>
        <v>0</v>
      </c>
      <c r="G40" s="1"/>
      <c r="H40" s="1">
        <f>SUM(OSRRefH22_2x_0)</f>
        <v>0</v>
      </c>
      <c r="I40" s="1"/>
      <c r="J40" s="5">
        <f t="shared" ref="J40:J62" si="30">IF(H$12=0,0,H40/H$12)</f>
        <v>0</v>
      </c>
      <c r="K40" s="1"/>
      <c r="L40" s="1">
        <f t="shared" ref="L40:L62" si="31">+D40-H40</f>
        <v>0</v>
      </c>
      <c r="M40" s="1"/>
      <c r="N40" s="5">
        <f t="shared" ref="N40:N62" si="32">IF(H40=0,0,L40/H40)</f>
        <v>0</v>
      </c>
      <c r="O40" s="14"/>
      <c r="P40" s="1">
        <f>SUM(OSRRefP22_2x_0)</f>
        <v>855.27</v>
      </c>
      <c r="Q40" s="1"/>
      <c r="R40" s="5">
        <f t="shared" ref="R40:R62" si="33">IF(P$12=0,0,P40/P$12)</f>
        <v>1.7342275364438811E-3</v>
      </c>
      <c r="S40" s="1"/>
      <c r="T40" s="1">
        <f>SUM(OSRRefT22_2x_0)</f>
        <v>0</v>
      </c>
      <c r="U40" s="1"/>
      <c r="V40" s="5">
        <f t="shared" ref="V40:V62" si="34">IF(T$12=0,0,T40/T$12)</f>
        <v>0</v>
      </c>
      <c r="W40" s="1"/>
      <c r="X40" s="1">
        <f t="shared" ref="X40:X62" si="35">+P40-T40</f>
        <v>855.27</v>
      </c>
      <c r="Y40" s="1"/>
      <c r="Z40" s="5">
        <f t="shared" ref="Z40:Z62" si="36">IF(T40=0,0,X40/T40)</f>
        <v>0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9"/>
        <v>0</v>
      </c>
      <c r="G41" s="2"/>
      <c r="H41" s="6"/>
      <c r="I41" s="2"/>
      <c r="J41" s="7">
        <f t="shared" si="30"/>
        <v>0</v>
      </c>
      <c r="K41" s="2"/>
      <c r="L41" s="6">
        <f t="shared" si="31"/>
        <v>0</v>
      </c>
      <c r="M41" s="2"/>
      <c r="N41" s="7">
        <f t="shared" si="32"/>
        <v>0</v>
      </c>
      <c r="O41" s="11"/>
      <c r="P41" s="6">
        <v>855.27</v>
      </c>
      <c r="Q41" s="2"/>
      <c r="R41" s="7">
        <f t="shared" si="33"/>
        <v>1.7342275364438811E-3</v>
      </c>
      <c r="S41" s="2"/>
      <c r="T41" s="6"/>
      <c r="U41" s="2"/>
      <c r="V41" s="7">
        <f t="shared" si="34"/>
        <v>0</v>
      </c>
      <c r="W41" s="2"/>
      <c r="X41" s="6">
        <f t="shared" si="35"/>
        <v>855.27</v>
      </c>
      <c r="Y41" s="2"/>
      <c r="Z41" s="7">
        <f t="shared" si="36"/>
        <v>0</v>
      </c>
    </row>
    <row r="42" spans="1:26" s="28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9"/>
        <v>0</v>
      </c>
      <c r="G42" s="1"/>
      <c r="H42" s="1">
        <f>SUM(OSRRefH22_3x_0)</f>
        <v>0</v>
      </c>
      <c r="I42" s="1"/>
      <c r="J42" s="5">
        <f t="shared" si="30"/>
        <v>0</v>
      </c>
      <c r="K42" s="1"/>
      <c r="L42" s="1">
        <f t="shared" si="31"/>
        <v>0</v>
      </c>
      <c r="M42" s="1"/>
      <c r="N42" s="5">
        <f t="shared" si="32"/>
        <v>0</v>
      </c>
      <c r="O42" s="14"/>
      <c r="P42" s="1">
        <f>SUM(OSRRefP22_3x_0)</f>
        <v>0</v>
      </c>
      <c r="Q42" s="1"/>
      <c r="R42" s="5">
        <f t="shared" si="33"/>
        <v>0</v>
      </c>
      <c r="S42" s="1"/>
      <c r="T42" s="1">
        <f>SUM(OSRRefT22_3x_0)</f>
        <v>29.74</v>
      </c>
      <c r="U42" s="1"/>
      <c r="V42" s="5">
        <f t="shared" si="34"/>
        <v>0</v>
      </c>
      <c r="W42" s="1"/>
      <c r="X42" s="1">
        <f t="shared" si="35"/>
        <v>-29.74</v>
      </c>
      <c r="Y42" s="1"/>
      <c r="Z42" s="5">
        <f t="shared" si="36"/>
        <v>-1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9"/>
        <v>0</v>
      </c>
      <c r="G43" s="2"/>
      <c r="H43" s="6"/>
      <c r="I43" s="2"/>
      <c r="J43" s="7">
        <f t="shared" si="30"/>
        <v>0</v>
      </c>
      <c r="K43" s="2"/>
      <c r="L43" s="6">
        <f t="shared" si="31"/>
        <v>0</v>
      </c>
      <c r="M43" s="2"/>
      <c r="N43" s="7">
        <f t="shared" si="32"/>
        <v>0</v>
      </c>
      <c r="O43" s="11"/>
      <c r="P43" s="6"/>
      <c r="Q43" s="2"/>
      <c r="R43" s="7">
        <f t="shared" si="33"/>
        <v>0</v>
      </c>
      <c r="S43" s="2"/>
      <c r="T43" s="6">
        <v>29.74</v>
      </c>
      <c r="U43" s="2"/>
      <c r="V43" s="7">
        <f t="shared" si="34"/>
        <v>0</v>
      </c>
      <c r="W43" s="2"/>
      <c r="X43" s="6">
        <f t="shared" si="35"/>
        <v>-29.74</v>
      </c>
      <c r="Y43" s="2"/>
      <c r="Z43" s="7">
        <f t="shared" si="36"/>
        <v>-1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51.4</v>
      </c>
      <c r="E44" s="1"/>
      <c r="F44" s="5">
        <f t="shared" si="29"/>
        <v>1.7781799401168501E-4</v>
      </c>
      <c r="G44" s="1"/>
      <c r="H44" s="1">
        <f>SUM(OSRRefH22_4x_0)</f>
        <v>0</v>
      </c>
      <c r="I44" s="1"/>
      <c r="J44" s="5">
        <f t="shared" si="30"/>
        <v>0</v>
      </c>
      <c r="K44" s="1"/>
      <c r="L44" s="1">
        <f t="shared" si="31"/>
        <v>51.4</v>
      </c>
      <c r="M44" s="1"/>
      <c r="N44" s="5">
        <f t="shared" si="32"/>
        <v>0</v>
      </c>
      <c r="O44" s="14"/>
      <c r="P44" s="1">
        <f>SUM(OSRRefP22_4x_0)</f>
        <v>146.1</v>
      </c>
      <c r="Q44" s="1"/>
      <c r="R44" s="5">
        <f t="shared" si="33"/>
        <v>2.962463819313796E-4</v>
      </c>
      <c r="S44" s="1"/>
      <c r="T44" s="1">
        <f>SUM(OSRRefT22_4x_0)</f>
        <v>0</v>
      </c>
      <c r="U44" s="1"/>
      <c r="V44" s="5">
        <f t="shared" si="34"/>
        <v>0</v>
      </c>
      <c r="W44" s="1"/>
      <c r="X44" s="1">
        <f t="shared" si="35"/>
        <v>146.1</v>
      </c>
      <c r="Y44" s="1"/>
      <c r="Z44" s="5">
        <f t="shared" si="36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51.4</v>
      </c>
      <c r="E45" s="2"/>
      <c r="F45" s="7">
        <f t="shared" si="29"/>
        <v>1.7781799401168501E-4</v>
      </c>
      <c r="G45" s="2"/>
      <c r="H45" s="6"/>
      <c r="I45" s="2"/>
      <c r="J45" s="7">
        <f t="shared" si="30"/>
        <v>0</v>
      </c>
      <c r="K45" s="2"/>
      <c r="L45" s="6">
        <f t="shared" si="31"/>
        <v>51.4</v>
      </c>
      <c r="M45" s="2"/>
      <c r="N45" s="7">
        <f t="shared" si="32"/>
        <v>0</v>
      </c>
      <c r="O45" s="11"/>
      <c r="P45" s="6">
        <v>146.1</v>
      </c>
      <c r="Q45" s="2"/>
      <c r="R45" s="7">
        <f t="shared" si="33"/>
        <v>2.962463819313796E-4</v>
      </c>
      <c r="S45" s="2"/>
      <c r="T45" s="6"/>
      <c r="U45" s="2"/>
      <c r="V45" s="7">
        <f t="shared" si="34"/>
        <v>0</v>
      </c>
      <c r="W45" s="2"/>
      <c r="X45" s="6">
        <f t="shared" si="35"/>
        <v>146.1</v>
      </c>
      <c r="Y45" s="2"/>
      <c r="Z45" s="7">
        <f t="shared" si="36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213.02</v>
      </c>
      <c r="E46" s="1"/>
      <c r="F46" s="5">
        <f t="shared" si="29"/>
        <v>7.3694142187488601E-4</v>
      </c>
      <c r="G46" s="1"/>
      <c r="H46" s="1">
        <f>SUM(OSRRefH22_5x_0)</f>
        <v>213.02</v>
      </c>
      <c r="I46" s="1"/>
      <c r="J46" s="5">
        <f t="shared" si="30"/>
        <v>-1.6980294345295747E-2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SUM(OSRRefP22_5x_0)</f>
        <v>852.08</v>
      </c>
      <c r="Q46" s="1"/>
      <c r="R46" s="5">
        <f t="shared" si="33"/>
        <v>1.7277591862839832E-3</v>
      </c>
      <c r="S46" s="1"/>
      <c r="T46" s="1">
        <f>SUM(OSRRefT22_5x_0)</f>
        <v>852.08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213.02</v>
      </c>
      <c r="E47" s="2"/>
      <c r="F47" s="7">
        <f t="shared" si="29"/>
        <v>7.3694142187488601E-4</v>
      </c>
      <c r="G47" s="2"/>
      <c r="H47" s="6">
        <v>213.02</v>
      </c>
      <c r="I47" s="2"/>
      <c r="J47" s="7">
        <f t="shared" si="30"/>
        <v>-1.6980294345295747E-2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852.08</v>
      </c>
      <c r="Q47" s="2"/>
      <c r="R47" s="7">
        <f t="shared" si="33"/>
        <v>1.7277591862839832E-3</v>
      </c>
      <c r="S47" s="2"/>
      <c r="T47" s="6">
        <v>852.08</v>
      </c>
      <c r="U47" s="2"/>
      <c r="V47" s="7">
        <f t="shared" si="34"/>
        <v>0</v>
      </c>
      <c r="W47" s="2"/>
      <c r="X47" s="6">
        <f t="shared" si="35"/>
        <v>0</v>
      </c>
      <c r="Y47" s="2"/>
      <c r="Z47" s="7">
        <f t="shared" si="36"/>
        <v>0</v>
      </c>
    </row>
    <row r="48" spans="1:26" s="28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1738.52</v>
      </c>
      <c r="E48" s="1"/>
      <c r="F48" s="5">
        <f t="shared" si="29"/>
        <v>6.0143995904512566E-3</v>
      </c>
      <c r="G48" s="1"/>
      <c r="H48" s="1">
        <f>SUM(OSRRefH22_6x_0)</f>
        <v>0</v>
      </c>
      <c r="I48" s="1"/>
      <c r="J48" s="5">
        <f t="shared" si="30"/>
        <v>0</v>
      </c>
      <c r="K48" s="1"/>
      <c r="L48" s="1">
        <f t="shared" si="31"/>
        <v>1738.52</v>
      </c>
      <c r="M48" s="1"/>
      <c r="N48" s="5">
        <f t="shared" si="32"/>
        <v>0</v>
      </c>
      <c r="O48" s="14"/>
      <c r="P48" s="1">
        <f>SUM(OSRRefP22_6x_0)</f>
        <v>4255.25</v>
      </c>
      <c r="Q48" s="1"/>
      <c r="R48" s="5">
        <f t="shared" si="33"/>
        <v>8.6283532971492341E-3</v>
      </c>
      <c r="S48" s="1"/>
      <c r="T48" s="1">
        <f>SUM(OSRRefT22_6x_0)</f>
        <v>0</v>
      </c>
      <c r="U48" s="1"/>
      <c r="V48" s="5">
        <f t="shared" si="34"/>
        <v>0</v>
      </c>
      <c r="W48" s="1"/>
      <c r="X48" s="1">
        <f t="shared" si="35"/>
        <v>4255.25</v>
      </c>
      <c r="Y48" s="1"/>
      <c r="Z48" s="5">
        <f t="shared" si="36"/>
        <v>0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6">
        <v>1738.52</v>
      </c>
      <c r="E49" s="2"/>
      <c r="F49" s="7">
        <f t="shared" si="29"/>
        <v>6.0143995904512566E-3</v>
      </c>
      <c r="G49" s="2"/>
      <c r="H49" s="6"/>
      <c r="I49" s="2"/>
      <c r="J49" s="7">
        <f t="shared" si="30"/>
        <v>0</v>
      </c>
      <c r="K49" s="2"/>
      <c r="L49" s="6">
        <f t="shared" si="31"/>
        <v>1738.52</v>
      </c>
      <c r="M49" s="2"/>
      <c r="N49" s="7">
        <f t="shared" si="32"/>
        <v>0</v>
      </c>
      <c r="O49" s="11"/>
      <c r="P49" s="6">
        <v>4255.25</v>
      </c>
      <c r="Q49" s="2"/>
      <c r="R49" s="7">
        <f t="shared" si="33"/>
        <v>8.6283532971492341E-3</v>
      </c>
      <c r="S49" s="2"/>
      <c r="T49" s="6"/>
      <c r="U49" s="2"/>
      <c r="V49" s="7">
        <f t="shared" si="34"/>
        <v>0</v>
      </c>
      <c r="W49" s="2"/>
      <c r="X49" s="6">
        <f t="shared" si="35"/>
        <v>4255.25</v>
      </c>
      <c r="Y49" s="2"/>
      <c r="Z49" s="7">
        <f t="shared" si="36"/>
        <v>0</v>
      </c>
    </row>
    <row r="50" spans="1:26" s="28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0</v>
      </c>
      <c r="E50" s="1"/>
      <c r="F50" s="5">
        <f t="shared" si="29"/>
        <v>0</v>
      </c>
      <c r="G50" s="1"/>
      <c r="H50" s="1">
        <f>SUM(OSRRefH22_7x_0)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SUM(OSRRefP22_7x_0)</f>
        <v>14.49</v>
      </c>
      <c r="Q50" s="1"/>
      <c r="R50" s="5">
        <f t="shared" si="33"/>
        <v>2.93813146761512E-5</v>
      </c>
      <c r="S50" s="1"/>
      <c r="T50" s="1">
        <f>SUM(OSRRefT22_7x_0)</f>
        <v>0</v>
      </c>
      <c r="U50" s="1"/>
      <c r="V50" s="5">
        <f t="shared" si="34"/>
        <v>0</v>
      </c>
      <c r="W50" s="1"/>
      <c r="X50" s="1">
        <f t="shared" si="35"/>
        <v>14.49</v>
      </c>
      <c r="Y50" s="1"/>
      <c r="Z50" s="5">
        <f t="shared" si="36"/>
        <v>0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14.49</v>
      </c>
      <c r="Q51" s="2"/>
      <c r="R51" s="7">
        <f t="shared" si="33"/>
        <v>2.93813146761512E-5</v>
      </c>
      <c r="S51" s="2"/>
      <c r="T51" s="6"/>
      <c r="U51" s="2"/>
      <c r="V51" s="7">
        <f t="shared" si="34"/>
        <v>0</v>
      </c>
      <c r="W51" s="2"/>
      <c r="X51" s="6">
        <f t="shared" si="35"/>
        <v>14.49</v>
      </c>
      <c r="Y51" s="2"/>
      <c r="Z51" s="7">
        <f t="shared" si="36"/>
        <v>0</v>
      </c>
    </row>
    <row r="52" spans="1:26" s="28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0</v>
      </c>
      <c r="E52" s="1"/>
      <c r="F52" s="5">
        <f t="shared" si="29"/>
        <v>0</v>
      </c>
      <c r="G52" s="1"/>
      <c r="H52" s="1">
        <f>SUM(OSRRefH22_8x_0)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4"/>
      <c r="P52" s="1">
        <f>SUM(OSRRefP22_8x_0)</f>
        <v>0</v>
      </c>
      <c r="Q52" s="1"/>
      <c r="R52" s="5">
        <f t="shared" si="33"/>
        <v>0</v>
      </c>
      <c r="S52" s="1"/>
      <c r="T52" s="1">
        <f>SUM(OSRRefT22_8x_0)</f>
        <v>20</v>
      </c>
      <c r="U52" s="1"/>
      <c r="V52" s="5">
        <f t="shared" si="34"/>
        <v>0</v>
      </c>
      <c r="W52" s="1"/>
      <c r="X52" s="1">
        <f t="shared" si="35"/>
        <v>-20</v>
      </c>
      <c r="Y52" s="1"/>
      <c r="Z52" s="5">
        <f t="shared" si="36"/>
        <v>-1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/>
      <c r="Q53" s="2"/>
      <c r="R53" s="7">
        <f t="shared" si="33"/>
        <v>0</v>
      </c>
      <c r="S53" s="2"/>
      <c r="T53" s="6">
        <v>20</v>
      </c>
      <c r="U53" s="2"/>
      <c r="V53" s="7">
        <f t="shared" si="34"/>
        <v>0</v>
      </c>
      <c r="W53" s="2"/>
      <c r="X53" s="6">
        <f t="shared" si="35"/>
        <v>-20</v>
      </c>
      <c r="Y53" s="2"/>
      <c r="Z53" s="7">
        <f t="shared" si="36"/>
        <v>-1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297.61</v>
      </c>
      <c r="E54" s="1"/>
      <c r="F54" s="5">
        <f t="shared" si="29"/>
        <v>1.0295800233038439E-3</v>
      </c>
      <c r="G54" s="1"/>
      <c r="H54" s="1">
        <f>SUM(OSRRefH22_9x_0)</f>
        <v>0</v>
      </c>
      <c r="I54" s="1"/>
      <c r="J54" s="5">
        <f t="shared" si="30"/>
        <v>0</v>
      </c>
      <c r="K54" s="1"/>
      <c r="L54" s="1">
        <f t="shared" si="31"/>
        <v>297.61</v>
      </c>
      <c r="M54" s="1"/>
      <c r="N54" s="5">
        <f t="shared" si="32"/>
        <v>0</v>
      </c>
      <c r="O54" s="14"/>
      <c r="P54" s="1">
        <f>SUM(OSRRefP22_9x_0)</f>
        <v>1767.16</v>
      </c>
      <c r="Q54" s="1"/>
      <c r="R54" s="5">
        <f t="shared" si="33"/>
        <v>3.5832632189860148E-3</v>
      </c>
      <c r="S54" s="1"/>
      <c r="T54" s="1">
        <f>SUM(OSRRefT22_9x_0)</f>
        <v>1439.55</v>
      </c>
      <c r="U54" s="1"/>
      <c r="V54" s="5">
        <f t="shared" si="34"/>
        <v>0</v>
      </c>
      <c r="W54" s="1"/>
      <c r="X54" s="1">
        <f t="shared" si="35"/>
        <v>327.61000000000013</v>
      </c>
      <c r="Y54" s="1"/>
      <c r="Z54" s="5">
        <f t="shared" si="36"/>
        <v>0.22757806258900359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6">
        <v>297.61</v>
      </c>
      <c r="E55" s="2"/>
      <c r="F55" s="7">
        <f t="shared" si="29"/>
        <v>1.0295800233038439E-3</v>
      </c>
      <c r="G55" s="2"/>
      <c r="H55" s="6"/>
      <c r="I55" s="2"/>
      <c r="J55" s="7">
        <f t="shared" si="30"/>
        <v>0</v>
      </c>
      <c r="K55" s="2"/>
      <c r="L55" s="6">
        <f t="shared" si="31"/>
        <v>297.61</v>
      </c>
      <c r="M55" s="2"/>
      <c r="N55" s="7">
        <f t="shared" si="32"/>
        <v>0</v>
      </c>
      <c r="O55" s="11"/>
      <c r="P55" s="6">
        <v>1767.16</v>
      </c>
      <c r="Q55" s="2"/>
      <c r="R55" s="7">
        <f t="shared" si="33"/>
        <v>3.5832632189860148E-3</v>
      </c>
      <c r="S55" s="2"/>
      <c r="T55" s="6">
        <v>1439.55</v>
      </c>
      <c r="U55" s="2"/>
      <c r="V55" s="7">
        <f t="shared" si="34"/>
        <v>0</v>
      </c>
      <c r="W55" s="2"/>
      <c r="X55" s="6">
        <f t="shared" si="35"/>
        <v>327.61000000000013</v>
      </c>
      <c r="Y55" s="2"/>
      <c r="Z55" s="7">
        <f t="shared" si="36"/>
        <v>0.22757806258900359</v>
      </c>
    </row>
    <row r="56" spans="1:26" s="28" customFormat="1" outlineLevel="1" collapsed="1" x14ac:dyDescent="0.25">
      <c r="A56" s="27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SUM(OSRRefD22_10x_0)</f>
        <v>5.21</v>
      </c>
      <c r="E56" s="1"/>
      <c r="F56" s="5">
        <f t="shared" si="29"/>
        <v>1.8023963984452897E-5</v>
      </c>
      <c r="G56" s="1"/>
      <c r="H56" s="1">
        <f>SUM(OSRRefH22_10x_0)</f>
        <v>5.9</v>
      </c>
      <c r="I56" s="1"/>
      <c r="J56" s="5">
        <f t="shared" si="30"/>
        <v>-4.7030202158128301E-4</v>
      </c>
      <c r="K56" s="1"/>
      <c r="L56" s="1">
        <f t="shared" si="31"/>
        <v>-0.69000000000000039</v>
      </c>
      <c r="M56" s="1"/>
      <c r="N56" s="5">
        <f t="shared" si="32"/>
        <v>-0.11694915254237294</v>
      </c>
      <c r="O56" s="14"/>
      <c r="P56" s="1">
        <f>SUM(OSRRefP22_10x_0)</f>
        <v>20.85</v>
      </c>
      <c r="Q56" s="1"/>
      <c r="R56" s="5">
        <f t="shared" si="33"/>
        <v>4.227746107644945E-5</v>
      </c>
      <c r="S56" s="1"/>
      <c r="T56" s="1">
        <f>SUM(OSRRefT22_10x_0)</f>
        <v>23.6</v>
      </c>
      <c r="U56" s="1"/>
      <c r="V56" s="5">
        <f t="shared" si="34"/>
        <v>0</v>
      </c>
      <c r="W56" s="1"/>
      <c r="X56" s="1">
        <f t="shared" si="35"/>
        <v>-2.75</v>
      </c>
      <c r="Y56" s="1"/>
      <c r="Z56" s="5">
        <f t="shared" si="36"/>
        <v>-0.11652542372881355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6">
        <v>5.21</v>
      </c>
      <c r="E57" s="2"/>
      <c r="F57" s="7">
        <f t="shared" si="29"/>
        <v>1.8023963984452897E-5</v>
      </c>
      <c r="G57" s="2"/>
      <c r="H57" s="6">
        <v>5.9</v>
      </c>
      <c r="I57" s="2"/>
      <c r="J57" s="7">
        <f t="shared" si="30"/>
        <v>-4.7030202158128301E-4</v>
      </c>
      <c r="K57" s="2"/>
      <c r="L57" s="6">
        <f t="shared" si="31"/>
        <v>-0.69000000000000039</v>
      </c>
      <c r="M57" s="2"/>
      <c r="N57" s="7">
        <f t="shared" si="32"/>
        <v>-0.11694915254237294</v>
      </c>
      <c r="O57" s="11"/>
      <c r="P57" s="6">
        <v>20.85</v>
      </c>
      <c r="Q57" s="2"/>
      <c r="R57" s="7">
        <f t="shared" si="33"/>
        <v>4.227746107644945E-5</v>
      </c>
      <c r="S57" s="2"/>
      <c r="T57" s="6">
        <v>23.6</v>
      </c>
      <c r="U57" s="2"/>
      <c r="V57" s="7">
        <f t="shared" si="34"/>
        <v>0</v>
      </c>
      <c r="W57" s="2"/>
      <c r="X57" s="6">
        <f t="shared" si="35"/>
        <v>-2.75</v>
      </c>
      <c r="Y57" s="2"/>
      <c r="Z57" s="7">
        <f t="shared" si="36"/>
        <v>-0.11652542372881355</v>
      </c>
    </row>
    <row r="58" spans="1:26" s="28" customFormat="1" outlineLevel="1" collapsed="1" x14ac:dyDescent="0.25">
      <c r="A58" s="27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SUM(OSRRefD22_11x_0)</f>
        <v>22985.68</v>
      </c>
      <c r="E58" s="1"/>
      <c r="F58" s="5">
        <f t="shared" si="29"/>
        <v>7.9518823124406765E-2</v>
      </c>
      <c r="G58" s="1"/>
      <c r="H58" s="1">
        <f>SUM(OSRRefH22_11x_0)</f>
        <v>0</v>
      </c>
      <c r="I58" s="1"/>
      <c r="J58" s="5">
        <f t="shared" si="30"/>
        <v>0</v>
      </c>
      <c r="K58" s="1"/>
      <c r="L58" s="1">
        <f t="shared" si="31"/>
        <v>22985.68</v>
      </c>
      <c r="M58" s="1"/>
      <c r="N58" s="5">
        <f t="shared" si="32"/>
        <v>0</v>
      </c>
      <c r="O58" s="14"/>
      <c r="P58" s="1">
        <f>SUM(OSRRefP22_11x_0)</f>
        <v>35543.800000000003</v>
      </c>
      <c r="Q58" s="1"/>
      <c r="R58" s="5">
        <f t="shared" si="33"/>
        <v>7.2072020192283162E-2</v>
      </c>
      <c r="S58" s="1"/>
      <c r="T58" s="1">
        <f>SUM(OSRRefT22_11x_0)</f>
        <v>0</v>
      </c>
      <c r="U58" s="1"/>
      <c r="V58" s="5">
        <f t="shared" si="34"/>
        <v>0</v>
      </c>
      <c r="W58" s="1"/>
      <c r="X58" s="1">
        <f t="shared" si="35"/>
        <v>35543.800000000003</v>
      </c>
      <c r="Y58" s="1"/>
      <c r="Z58" s="5">
        <f t="shared" si="36"/>
        <v>0</v>
      </c>
    </row>
    <row r="59" spans="1:26" s="24" customFormat="1" hidden="1" outlineLevel="2" x14ac:dyDescent="0.25">
      <c r="A59" s="29"/>
      <c r="B59" s="11" t="str">
        <f>CONCATENATE("          ", "6387", " - ", "COMMISSION DUE HOUSING")</f>
        <v xml:space="preserve">          6387 - COMMISSION DUE HOUSING</v>
      </c>
      <c r="C59" s="11"/>
      <c r="D59" s="6">
        <v>22985.68</v>
      </c>
      <c r="E59" s="2"/>
      <c r="F59" s="7">
        <f t="shared" si="29"/>
        <v>7.9518823124406765E-2</v>
      </c>
      <c r="G59" s="2"/>
      <c r="H59" s="6"/>
      <c r="I59" s="2"/>
      <c r="J59" s="7">
        <f t="shared" si="30"/>
        <v>0</v>
      </c>
      <c r="K59" s="2"/>
      <c r="L59" s="6">
        <f t="shared" si="31"/>
        <v>22985.68</v>
      </c>
      <c r="M59" s="2"/>
      <c r="N59" s="7">
        <f t="shared" si="32"/>
        <v>0</v>
      </c>
      <c r="O59" s="11"/>
      <c r="P59" s="6">
        <v>35543.800000000003</v>
      </c>
      <c r="Q59" s="2"/>
      <c r="R59" s="7">
        <f t="shared" si="33"/>
        <v>7.2072020192283162E-2</v>
      </c>
      <c r="S59" s="2"/>
      <c r="T59" s="6"/>
      <c r="U59" s="2"/>
      <c r="V59" s="7">
        <f t="shared" si="34"/>
        <v>0</v>
      </c>
      <c r="W59" s="2"/>
      <c r="X59" s="6">
        <f t="shared" si="35"/>
        <v>35543.800000000003</v>
      </c>
      <c r="Y59" s="2"/>
      <c r="Z59" s="7">
        <f t="shared" si="36"/>
        <v>0</v>
      </c>
    </row>
    <row r="60" spans="1:26" s="28" customFormat="1" outlineLevel="1" collapsed="1" x14ac:dyDescent="0.25">
      <c r="A60" s="27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690</v>
      </c>
      <c r="E60" s="1"/>
      <c r="F60" s="5">
        <f t="shared" si="29"/>
        <v>2.38705089237476E-3</v>
      </c>
      <c r="G60" s="1"/>
      <c r="H60" s="1">
        <f>SUM(OSRRefH22_12x_0)</f>
        <v>0</v>
      </c>
      <c r="I60" s="1"/>
      <c r="J60" s="5">
        <f t="shared" si="30"/>
        <v>0</v>
      </c>
      <c r="K60" s="1"/>
      <c r="L60" s="1">
        <f t="shared" si="31"/>
        <v>690</v>
      </c>
      <c r="M60" s="1"/>
      <c r="N60" s="5">
        <f t="shared" si="32"/>
        <v>0</v>
      </c>
      <c r="O60" s="14"/>
      <c r="P60" s="1">
        <f>SUM(OSRRefP22_12x_0)</f>
        <v>761.86</v>
      </c>
      <c r="Q60" s="1"/>
      <c r="R60" s="5">
        <f t="shared" si="33"/>
        <v>1.5448204554294378E-3</v>
      </c>
      <c r="S60" s="1"/>
      <c r="T60" s="1">
        <f>SUM(OSRRefT22_12x_0)</f>
        <v>72.349999999999994</v>
      </c>
      <c r="U60" s="1"/>
      <c r="V60" s="5">
        <f t="shared" si="34"/>
        <v>0</v>
      </c>
      <c r="W60" s="1"/>
      <c r="X60" s="1">
        <f t="shared" si="35"/>
        <v>689.51</v>
      </c>
      <c r="Y60" s="1"/>
      <c r="Z60" s="5">
        <f t="shared" si="36"/>
        <v>9.5302004146510022</v>
      </c>
    </row>
    <row r="61" spans="1:26" s="24" customFormat="1" hidden="1" outlineLevel="2" x14ac:dyDescent="0.25">
      <c r="A61" s="29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71.86</v>
      </c>
      <c r="Q61" s="2"/>
      <c r="R61" s="7">
        <f t="shared" si="33"/>
        <v>1.457102327555711E-4</v>
      </c>
      <c r="S61" s="2"/>
      <c r="T61" s="6">
        <v>72.349999999999994</v>
      </c>
      <c r="U61" s="2"/>
      <c r="V61" s="7">
        <f t="shared" si="34"/>
        <v>0</v>
      </c>
      <c r="W61" s="2"/>
      <c r="X61" s="6">
        <f t="shared" si="35"/>
        <v>-0.48999999999999488</v>
      </c>
      <c r="Y61" s="2"/>
      <c r="Z61" s="7">
        <f t="shared" si="36"/>
        <v>-6.7726330338630947E-3</v>
      </c>
    </row>
    <row r="62" spans="1:26" s="24" customFormat="1" hidden="1" outlineLevel="2" x14ac:dyDescent="0.25">
      <c r="A62" s="29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690</v>
      </c>
      <c r="E62" s="2"/>
      <c r="F62" s="7">
        <f t="shared" si="29"/>
        <v>2.38705089237476E-3</v>
      </c>
      <c r="G62" s="2"/>
      <c r="H62" s="6"/>
      <c r="I62" s="2"/>
      <c r="J62" s="7">
        <f t="shared" si="30"/>
        <v>0</v>
      </c>
      <c r="K62" s="2"/>
      <c r="L62" s="6">
        <f t="shared" si="31"/>
        <v>690</v>
      </c>
      <c r="M62" s="2"/>
      <c r="N62" s="7">
        <f t="shared" si="32"/>
        <v>0</v>
      </c>
      <c r="O62" s="11"/>
      <c r="P62" s="6">
        <v>690</v>
      </c>
      <c r="Q62" s="2"/>
      <c r="R62" s="7">
        <f t="shared" si="33"/>
        <v>1.3991102226738666E-3</v>
      </c>
      <c r="S62" s="2"/>
      <c r="T62" s="6"/>
      <c r="U62" s="2"/>
      <c r="V62" s="7">
        <f t="shared" si="34"/>
        <v>0</v>
      </c>
      <c r="W62" s="2"/>
      <c r="X62" s="6">
        <f t="shared" si="35"/>
        <v>690</v>
      </c>
      <c r="Y62" s="2"/>
      <c r="Z62" s="7">
        <f t="shared" si="36"/>
        <v>0</v>
      </c>
    </row>
    <row r="63" spans="1:26" s="28" customFormat="1" outlineLevel="1" collapsed="1" x14ac:dyDescent="0.25">
      <c r="A63" s="27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9903.91</v>
      </c>
      <c r="E63" s="1"/>
      <c r="F63" s="5">
        <f t="shared" ref="F63:F66" si="37">IF(D$12=0,0,D63/D$12)</f>
        <v>3.4262517686230877E-2</v>
      </c>
      <c r="G63" s="1"/>
      <c r="H63" s="1">
        <f>SUM(OSRRefH22_13x_0)</f>
        <v>1339.28</v>
      </c>
      <c r="I63" s="1"/>
      <c r="J63" s="5">
        <f t="shared" ref="J63:J66" si="38">IF(H$12=0,0,H63/H$12)</f>
        <v>-0.10675696465481027</v>
      </c>
      <c r="K63" s="1"/>
      <c r="L63" s="1">
        <f t="shared" ref="L63:L66" si="39">+D63-H63</f>
        <v>8564.6299999999992</v>
      </c>
      <c r="M63" s="1"/>
      <c r="N63" s="5">
        <f t="shared" ref="N63:N66" si="40">IF(H63=0,0,L63/H63)</f>
        <v>6.3949510184576779</v>
      </c>
      <c r="O63" s="14"/>
      <c r="P63" s="1">
        <f>SUM(OSRRefP22_13x_0)</f>
        <v>16126.35</v>
      </c>
      <c r="Q63" s="1"/>
      <c r="R63" s="5">
        <f t="shared" ref="R63:R66" si="41">IF(P$12=0,0,P63/P$12)</f>
        <v>3.2699334984661897E-2</v>
      </c>
      <c r="S63" s="1"/>
      <c r="T63" s="1">
        <f>SUM(OSRRefT22_13x_0)</f>
        <v>2080.69</v>
      </c>
      <c r="U63" s="1"/>
      <c r="V63" s="5">
        <f t="shared" ref="V63:V66" si="42">IF(T$12=0,0,T63/T$12)</f>
        <v>0</v>
      </c>
      <c r="W63" s="1"/>
      <c r="X63" s="1">
        <f t="shared" ref="X63:X66" si="43">+P63-T63</f>
        <v>14045.66</v>
      </c>
      <c r="Y63" s="1"/>
      <c r="Z63" s="5">
        <f t="shared" ref="Z63:Z66" si="44">IF(T63=0,0,X63/T63)</f>
        <v>6.7504818113222056</v>
      </c>
    </row>
    <row r="64" spans="1:26" s="24" customFormat="1" hidden="1" outlineLevel="2" x14ac:dyDescent="0.25">
      <c r="A64" s="29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729.95</v>
      </c>
      <c r="E64" s="2"/>
      <c r="F64" s="7">
        <f t="shared" si="37"/>
        <v>2.5252576795492115E-3</v>
      </c>
      <c r="G64" s="2"/>
      <c r="H64" s="6">
        <v>1339.28</v>
      </c>
      <c r="I64" s="2"/>
      <c r="J64" s="7">
        <f t="shared" si="38"/>
        <v>-0.10675696465481027</v>
      </c>
      <c r="K64" s="2"/>
      <c r="L64" s="6">
        <f t="shared" si="39"/>
        <v>-609.32999999999993</v>
      </c>
      <c r="M64" s="2"/>
      <c r="N64" s="7">
        <f t="shared" si="40"/>
        <v>-0.45496834119825574</v>
      </c>
      <c r="O64" s="11"/>
      <c r="P64" s="6">
        <v>2859.49</v>
      </c>
      <c r="Q64" s="2"/>
      <c r="R64" s="7">
        <f t="shared" si="41"/>
        <v>5.7981763632372384E-3</v>
      </c>
      <c r="S64" s="2"/>
      <c r="T64" s="6">
        <v>2080.69</v>
      </c>
      <c r="U64" s="2"/>
      <c r="V64" s="7">
        <f t="shared" si="42"/>
        <v>0</v>
      </c>
      <c r="W64" s="2"/>
      <c r="X64" s="6">
        <f t="shared" si="43"/>
        <v>778.79999999999973</v>
      </c>
      <c r="Y64" s="2"/>
      <c r="Z64" s="7">
        <f t="shared" si="44"/>
        <v>0.37429891045758845</v>
      </c>
    </row>
    <row r="65" spans="1:26" s="24" customFormat="1" hidden="1" outlineLevel="2" x14ac:dyDescent="0.25">
      <c r="A65" s="29"/>
      <c r="B65" s="11" t="str">
        <f>CONCATENATE("          ", "6285", " - ", "JANITORIAL SERVICES")</f>
        <v xml:space="preserve">          6285 - JANITORIAL SERVICES</v>
      </c>
      <c r="C65" s="11"/>
      <c r="D65" s="6">
        <v>4151.8599999999997</v>
      </c>
      <c r="E65" s="2"/>
      <c r="F65" s="7">
        <f t="shared" si="37"/>
        <v>1.4363334953645028E-2</v>
      </c>
      <c r="G65" s="2"/>
      <c r="H65" s="6"/>
      <c r="I65" s="2"/>
      <c r="J65" s="7">
        <f t="shared" si="38"/>
        <v>0</v>
      </c>
      <c r="K65" s="2"/>
      <c r="L65" s="6">
        <f t="shared" si="39"/>
        <v>4151.8599999999997</v>
      </c>
      <c r="M65" s="2"/>
      <c r="N65" s="7">
        <f t="shared" si="40"/>
        <v>0</v>
      </c>
      <c r="O65" s="11"/>
      <c r="P65" s="6">
        <v>8244.76</v>
      </c>
      <c r="Q65" s="2"/>
      <c r="R65" s="7">
        <f t="shared" si="41"/>
        <v>1.6717866665931287E-2</v>
      </c>
      <c r="S65" s="2"/>
      <c r="T65" s="6"/>
      <c r="U65" s="2"/>
      <c r="V65" s="7">
        <f t="shared" si="42"/>
        <v>0</v>
      </c>
      <c r="W65" s="2"/>
      <c r="X65" s="6">
        <f t="shared" si="43"/>
        <v>8244.76</v>
      </c>
      <c r="Y65" s="2"/>
      <c r="Z65" s="7">
        <f t="shared" si="44"/>
        <v>0</v>
      </c>
    </row>
    <row r="66" spans="1:26" s="24" customFormat="1" hidden="1" outlineLevel="2" x14ac:dyDescent="0.25">
      <c r="A66" s="29"/>
      <c r="B66" s="11" t="str">
        <f>CONCATENATE("          ", "6286", " - ", "LAUNDRY EXPENSE")</f>
        <v xml:space="preserve">          6286 - LAUNDRY EXPENSE</v>
      </c>
      <c r="C66" s="11"/>
      <c r="D66" s="6">
        <v>5022.1000000000004</v>
      </c>
      <c r="E66" s="2"/>
      <c r="F66" s="7">
        <f t="shared" si="37"/>
        <v>1.7373925053036639E-2</v>
      </c>
      <c r="G66" s="2"/>
      <c r="H66" s="6"/>
      <c r="I66" s="2"/>
      <c r="J66" s="7">
        <f t="shared" si="38"/>
        <v>0</v>
      </c>
      <c r="K66" s="2"/>
      <c r="L66" s="6">
        <f t="shared" si="39"/>
        <v>5022.1000000000004</v>
      </c>
      <c r="M66" s="2"/>
      <c r="N66" s="7">
        <f t="shared" si="40"/>
        <v>0</v>
      </c>
      <c r="O66" s="11"/>
      <c r="P66" s="6">
        <v>5022.1000000000004</v>
      </c>
      <c r="Q66" s="2"/>
      <c r="R66" s="7">
        <f t="shared" si="41"/>
        <v>1.0183291955493371E-2</v>
      </c>
      <c r="S66" s="2"/>
      <c r="T66" s="6"/>
      <c r="U66" s="2"/>
      <c r="V66" s="7">
        <f t="shared" si="42"/>
        <v>0</v>
      </c>
      <c r="W66" s="2"/>
      <c r="X66" s="6">
        <f t="shared" si="43"/>
        <v>5022.1000000000004</v>
      </c>
      <c r="Y66" s="2"/>
      <c r="Z66" s="7">
        <f t="shared" si="44"/>
        <v>0</v>
      </c>
    </row>
    <row r="67" spans="1:26" s="28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22941.589999999997</v>
      </c>
      <c r="E67" s="1"/>
      <c r="F67" s="5">
        <f t="shared" ref="F67:F73" si="45">IF(D$12=0,0,D67/D$12)</f>
        <v>7.936629403187806E-2</v>
      </c>
      <c r="G67" s="1"/>
      <c r="H67" s="1">
        <f>SUM(OSRRefH22_14x_0)</f>
        <v>0</v>
      </c>
      <c r="I67" s="1"/>
      <c r="J67" s="5">
        <f t="shared" ref="J67:J73" si="46">IF(H$12=0,0,H67/H$12)</f>
        <v>0</v>
      </c>
      <c r="K67" s="1"/>
      <c r="L67" s="1">
        <f t="shared" ref="L67:L73" si="47">+D67-H67</f>
        <v>22941.589999999997</v>
      </c>
      <c r="M67" s="1"/>
      <c r="N67" s="5">
        <f t="shared" ref="N67:N73" si="48">IF(H67=0,0,L67/H67)</f>
        <v>0</v>
      </c>
      <c r="O67" s="14"/>
      <c r="P67" s="1">
        <f>SUM(OSRRefP22_14x_0)</f>
        <v>50379.56</v>
      </c>
      <c r="Q67" s="1"/>
      <c r="R67" s="5">
        <f t="shared" ref="R67:R73" si="49">IF(P$12=0,0,P67/P$12)</f>
        <v>0.1021544310287122</v>
      </c>
      <c r="S67" s="1"/>
      <c r="T67" s="1">
        <f>SUM(OSRRefT22_14x_0)</f>
        <v>57.16</v>
      </c>
      <c r="U67" s="1"/>
      <c r="V67" s="5">
        <f t="shared" ref="V67:V73" si="50">IF(T$12=0,0,T67/T$12)</f>
        <v>0</v>
      </c>
      <c r="W67" s="1"/>
      <c r="X67" s="1">
        <f t="shared" ref="X67:X73" si="51">+P67-T67</f>
        <v>50322.399999999994</v>
      </c>
      <c r="Y67" s="1"/>
      <c r="Z67" s="5">
        <f t="shared" ref="Z67:Z73" si="52">IF(T67=0,0,X67/T67)</f>
        <v>880.37788663400977</v>
      </c>
    </row>
    <row r="68" spans="1:26" s="24" customFormat="1" hidden="1" outlineLevel="2" x14ac:dyDescent="0.25">
      <c r="A68" s="29"/>
      <c r="B68" s="11" t="str">
        <f>CONCATENATE("          ", "6237", " - ", "JANITORIAL SUPPLIES")</f>
        <v xml:space="preserve">          6237 - JANITORIAL SUPPLIES</v>
      </c>
      <c r="C68" s="11"/>
      <c r="D68" s="6">
        <v>1573.08</v>
      </c>
      <c r="E68" s="2"/>
      <c r="F68" s="7">
        <f t="shared" si="45"/>
        <v>5.4420608953288218E-3</v>
      </c>
      <c r="G68" s="2"/>
      <c r="H68" s="6"/>
      <c r="I68" s="2"/>
      <c r="J68" s="7">
        <f t="shared" si="46"/>
        <v>0</v>
      </c>
      <c r="K68" s="2"/>
      <c r="L68" s="6">
        <f t="shared" si="47"/>
        <v>1573.08</v>
      </c>
      <c r="M68" s="2"/>
      <c r="N68" s="7">
        <f t="shared" si="48"/>
        <v>0</v>
      </c>
      <c r="O68" s="11"/>
      <c r="P68" s="6">
        <v>6456.39</v>
      </c>
      <c r="Q68" s="2"/>
      <c r="R68" s="7">
        <f t="shared" si="49"/>
        <v>1.3091596015317864E-2</v>
      </c>
      <c r="S68" s="2"/>
      <c r="T68" s="6"/>
      <c r="U68" s="2"/>
      <c r="V68" s="7">
        <f t="shared" si="50"/>
        <v>0</v>
      </c>
      <c r="W68" s="2"/>
      <c r="X68" s="6">
        <f t="shared" si="51"/>
        <v>6456.39</v>
      </c>
      <c r="Y68" s="2"/>
      <c r="Z68" s="7">
        <f t="shared" si="52"/>
        <v>0</v>
      </c>
    </row>
    <row r="69" spans="1:26" s="24" customFormat="1" hidden="1" outlineLevel="2" x14ac:dyDescent="0.25">
      <c r="A69" s="29"/>
      <c r="B69" s="11" t="str">
        <f>CONCATENATE("          ", "6239", " - ", "KITCHEN SUPPLIES")</f>
        <v xml:space="preserve">          6239 - KITCHEN SUPPLIES</v>
      </c>
      <c r="C69" s="11"/>
      <c r="D69" s="6">
        <v>2798.69</v>
      </c>
      <c r="E69" s="2"/>
      <c r="F69" s="7">
        <f t="shared" si="45"/>
        <v>9.6820513941743725E-3</v>
      </c>
      <c r="G69" s="2"/>
      <c r="H69" s="6"/>
      <c r="I69" s="2"/>
      <c r="J69" s="7">
        <f t="shared" si="46"/>
        <v>0</v>
      </c>
      <c r="K69" s="2"/>
      <c r="L69" s="6">
        <f t="shared" si="47"/>
        <v>2798.69</v>
      </c>
      <c r="M69" s="2"/>
      <c r="N69" s="7">
        <f t="shared" si="48"/>
        <v>0</v>
      </c>
      <c r="O69" s="11"/>
      <c r="P69" s="6">
        <v>8702.35</v>
      </c>
      <c r="Q69" s="2"/>
      <c r="R69" s="7">
        <f t="shared" si="49"/>
        <v>1.7645720067081049E-2</v>
      </c>
      <c r="S69" s="2"/>
      <c r="T69" s="6"/>
      <c r="U69" s="2"/>
      <c r="V69" s="7">
        <f t="shared" si="50"/>
        <v>0</v>
      </c>
      <c r="W69" s="2"/>
      <c r="X69" s="6">
        <f t="shared" si="51"/>
        <v>8702.35</v>
      </c>
      <c r="Y69" s="2"/>
      <c r="Z69" s="7">
        <f t="shared" si="52"/>
        <v>0</v>
      </c>
    </row>
    <row r="70" spans="1:26" s="24" customFormat="1" hidden="1" outlineLevel="2" x14ac:dyDescent="0.25">
      <c r="A70" s="29"/>
      <c r="B70" s="11" t="str">
        <f>CONCATENATE("          ", "6241", " - ", "OFFICE EXPENSE")</f>
        <v xml:space="preserve">          6241 - OFFICE EXPENSE</v>
      </c>
      <c r="C70" s="11"/>
      <c r="D70" s="6">
        <v>1729.89</v>
      </c>
      <c r="E70" s="2"/>
      <c r="F70" s="7">
        <f t="shared" si="45"/>
        <v>5.984544156826338E-3</v>
      </c>
      <c r="G70" s="2"/>
      <c r="H70" s="6"/>
      <c r="I70" s="2"/>
      <c r="J70" s="7">
        <f t="shared" si="46"/>
        <v>0</v>
      </c>
      <c r="K70" s="2"/>
      <c r="L70" s="6">
        <f t="shared" si="47"/>
        <v>1729.89</v>
      </c>
      <c r="M70" s="2"/>
      <c r="N70" s="7">
        <f t="shared" si="48"/>
        <v>0</v>
      </c>
      <c r="O70" s="11"/>
      <c r="P70" s="6">
        <v>4597.18</v>
      </c>
      <c r="Q70" s="2"/>
      <c r="R70" s="7">
        <f t="shared" si="49"/>
        <v>9.3216833818432557E-3</v>
      </c>
      <c r="S70" s="2"/>
      <c r="T70" s="6">
        <v>57.16</v>
      </c>
      <c r="U70" s="2"/>
      <c r="V70" s="7">
        <f t="shared" si="50"/>
        <v>0</v>
      </c>
      <c r="W70" s="2"/>
      <c r="X70" s="6">
        <f t="shared" si="51"/>
        <v>4540.0200000000004</v>
      </c>
      <c r="Y70" s="2"/>
      <c r="Z70" s="7">
        <f t="shared" si="52"/>
        <v>79.426522043386996</v>
      </c>
    </row>
    <row r="71" spans="1:26" s="24" customFormat="1" hidden="1" outlineLevel="2" x14ac:dyDescent="0.25">
      <c r="A71" s="29"/>
      <c r="B71" s="11" t="str">
        <f>CONCATENATE("          ", "6243", " - ", "PAPER SUPPLIES")</f>
        <v xml:space="preserve">          6243 - PAPER SUPPLIES</v>
      </c>
      <c r="C71" s="11"/>
      <c r="D71" s="6">
        <v>14888.91</v>
      </c>
      <c r="E71" s="2"/>
      <c r="F71" s="7">
        <f t="shared" si="45"/>
        <v>5.1508095510126792E-2</v>
      </c>
      <c r="G71" s="2"/>
      <c r="H71" s="6"/>
      <c r="I71" s="2"/>
      <c r="J71" s="7">
        <f t="shared" si="46"/>
        <v>0</v>
      </c>
      <c r="K71" s="2"/>
      <c r="L71" s="6">
        <f t="shared" si="47"/>
        <v>14888.91</v>
      </c>
      <c r="M71" s="2"/>
      <c r="N71" s="7">
        <f t="shared" si="48"/>
        <v>0</v>
      </c>
      <c r="O71" s="11"/>
      <c r="P71" s="6">
        <v>28545.279999999999</v>
      </c>
      <c r="Q71" s="2"/>
      <c r="R71" s="7">
        <f t="shared" si="49"/>
        <v>5.7881149358098363E-2</v>
      </c>
      <c r="S71" s="2"/>
      <c r="T71" s="6"/>
      <c r="U71" s="2"/>
      <c r="V71" s="7">
        <f t="shared" si="50"/>
        <v>0</v>
      </c>
      <c r="W71" s="2"/>
      <c r="X71" s="6">
        <f t="shared" si="51"/>
        <v>28545.279999999999</v>
      </c>
      <c r="Y71" s="2"/>
      <c r="Z71" s="7">
        <f t="shared" si="52"/>
        <v>0</v>
      </c>
    </row>
    <row r="72" spans="1:26" s="24" customFormat="1" hidden="1" outlineLevel="2" x14ac:dyDescent="0.25">
      <c r="A72" s="29"/>
      <c r="B72" s="11" t="str">
        <f>CONCATENATE("          ", "6247", " - ", "STORE SUPPLIES")</f>
        <v xml:space="preserve">          6247 - STORE SUPPLIES</v>
      </c>
      <c r="C72" s="11"/>
      <c r="D72" s="6">
        <v>80.599999999999994</v>
      </c>
      <c r="E72" s="2"/>
      <c r="F72" s="7">
        <f t="shared" si="45"/>
        <v>2.788352201817473E-4</v>
      </c>
      <c r="G72" s="2"/>
      <c r="H72" s="6"/>
      <c r="I72" s="2"/>
      <c r="J72" s="7">
        <f t="shared" si="46"/>
        <v>0</v>
      </c>
      <c r="K72" s="2"/>
      <c r="L72" s="6">
        <f t="shared" si="47"/>
        <v>80.599999999999994</v>
      </c>
      <c r="M72" s="2"/>
      <c r="N72" s="7">
        <f t="shared" si="48"/>
        <v>0</v>
      </c>
      <c r="O72" s="11"/>
      <c r="P72" s="6">
        <v>207.94</v>
      </c>
      <c r="Q72" s="2"/>
      <c r="R72" s="7">
        <f t="shared" si="49"/>
        <v>4.2163910101855628E-4</v>
      </c>
      <c r="S72" s="2"/>
      <c r="T72" s="6"/>
      <c r="U72" s="2"/>
      <c r="V72" s="7">
        <f t="shared" si="50"/>
        <v>0</v>
      </c>
      <c r="W72" s="2"/>
      <c r="X72" s="6">
        <f t="shared" si="51"/>
        <v>207.94</v>
      </c>
      <c r="Y72" s="2"/>
      <c r="Z72" s="7">
        <f t="shared" si="52"/>
        <v>0</v>
      </c>
    </row>
    <row r="73" spans="1:26" s="24" customFormat="1" hidden="1" outlineLevel="2" x14ac:dyDescent="0.25">
      <c r="A73" s="29"/>
      <c r="B73" s="11" t="str">
        <f>CONCATENATE("          ", "6248", " - ", "UNIFORMS")</f>
        <v xml:space="preserve">          6248 - UNIFORMS</v>
      </c>
      <c r="C73" s="11"/>
      <c r="D73" s="6">
        <v>1870.42</v>
      </c>
      <c r="E73" s="2"/>
      <c r="F73" s="7">
        <f t="shared" si="45"/>
        <v>6.4707068552399974E-3</v>
      </c>
      <c r="G73" s="2"/>
      <c r="H73" s="6"/>
      <c r="I73" s="2"/>
      <c r="J73" s="7">
        <f t="shared" si="46"/>
        <v>0</v>
      </c>
      <c r="K73" s="2"/>
      <c r="L73" s="6">
        <f t="shared" si="47"/>
        <v>1870.42</v>
      </c>
      <c r="M73" s="2"/>
      <c r="N73" s="7">
        <f t="shared" si="48"/>
        <v>0</v>
      </c>
      <c r="O73" s="11"/>
      <c r="P73" s="6">
        <v>1870.42</v>
      </c>
      <c r="Q73" s="2"/>
      <c r="R73" s="7">
        <f t="shared" si="49"/>
        <v>3.7926431053531212E-3</v>
      </c>
      <c r="S73" s="2"/>
      <c r="T73" s="6"/>
      <c r="U73" s="2"/>
      <c r="V73" s="7">
        <f t="shared" si="50"/>
        <v>0</v>
      </c>
      <c r="W73" s="2"/>
      <c r="X73" s="6">
        <f t="shared" si="51"/>
        <v>1870.42</v>
      </c>
      <c r="Y73" s="2"/>
      <c r="Z73" s="7">
        <f t="shared" si="52"/>
        <v>0</v>
      </c>
    </row>
    <row r="74" spans="1:26" s="28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251</v>
      </c>
      <c r="E74" s="1"/>
      <c r="F74" s="5">
        <f t="shared" ref="F74:F77" si="53">IF(D$12=0,0,D74/D$12)</f>
        <v>8.6833300577690532E-4</v>
      </c>
      <c r="G74" s="1"/>
      <c r="H74" s="1">
        <f>SUM(OSRRefH22_15x_0)</f>
        <v>71.63</v>
      </c>
      <c r="I74" s="1"/>
      <c r="J74" s="5">
        <f t="shared" ref="J74:J77" si="54">IF(H$12=0,0,H74/H$12)</f>
        <v>-5.7097853908249655E-3</v>
      </c>
      <c r="K74" s="1"/>
      <c r="L74" s="1">
        <f t="shared" ref="L74:L77" si="55">+D74-H74</f>
        <v>179.37</v>
      </c>
      <c r="M74" s="1"/>
      <c r="N74" s="5">
        <f t="shared" ref="N74:N77" si="56">IF(H74=0,0,L74/H74)</f>
        <v>2.5041183861510543</v>
      </c>
      <c r="O74" s="14"/>
      <c r="P74" s="1">
        <f>SUM(OSRRefP22_15x_0)</f>
        <v>623.85</v>
      </c>
      <c r="Q74" s="1"/>
      <c r="R74" s="5">
        <f t="shared" ref="R74:R77" si="57">IF(P$12=0,0,P74/P$12)</f>
        <v>1.2649781339349156E-3</v>
      </c>
      <c r="S74" s="1"/>
      <c r="T74" s="1">
        <f>SUM(OSRRefT22_15x_0)</f>
        <v>479.63</v>
      </c>
      <c r="U74" s="1"/>
      <c r="V74" s="5">
        <f t="shared" ref="V74:V77" si="58">IF(T$12=0,0,T74/T$12)</f>
        <v>0</v>
      </c>
      <c r="W74" s="1"/>
      <c r="X74" s="1">
        <f t="shared" ref="X74:X77" si="59">+P74-T74</f>
        <v>144.22000000000003</v>
      </c>
      <c r="Y74" s="1"/>
      <c r="Z74" s="5">
        <f t="shared" ref="Z74:Z77" si="60">IF(T74=0,0,X74/T74)</f>
        <v>0.30069011529720835</v>
      </c>
    </row>
    <row r="75" spans="1:26" s="24" customFormat="1" hidden="1" outlineLevel="2" x14ac:dyDescent="0.25">
      <c r="A75" s="29"/>
      <c r="B75" s="11" t="str">
        <f>CONCATENATE("          ", "6309", " - ", "TELEPHONE")</f>
        <v xml:space="preserve">          6309 - TELEPHONE</v>
      </c>
      <c r="C75" s="11"/>
      <c r="D75" s="6">
        <v>251</v>
      </c>
      <c r="E75" s="2"/>
      <c r="F75" s="7">
        <f t="shared" si="53"/>
        <v>8.6833300577690532E-4</v>
      </c>
      <c r="G75" s="2"/>
      <c r="H75" s="6">
        <v>71.63</v>
      </c>
      <c r="I75" s="2"/>
      <c r="J75" s="7">
        <f t="shared" si="54"/>
        <v>-5.7097853908249655E-3</v>
      </c>
      <c r="K75" s="2"/>
      <c r="L75" s="6">
        <f t="shared" si="55"/>
        <v>179.37</v>
      </c>
      <c r="M75" s="2"/>
      <c r="N75" s="7">
        <f t="shared" si="56"/>
        <v>2.5041183861510543</v>
      </c>
      <c r="O75" s="11"/>
      <c r="P75" s="6">
        <v>623.85</v>
      </c>
      <c r="Q75" s="2"/>
      <c r="R75" s="7">
        <f t="shared" si="57"/>
        <v>1.2649781339349156E-3</v>
      </c>
      <c r="S75" s="2"/>
      <c r="T75" s="6">
        <v>479.63</v>
      </c>
      <c r="U75" s="2"/>
      <c r="V75" s="7">
        <f t="shared" si="58"/>
        <v>0</v>
      </c>
      <c r="W75" s="2"/>
      <c r="X75" s="6">
        <f t="shared" si="59"/>
        <v>144.22000000000003</v>
      </c>
      <c r="Y75" s="2"/>
      <c r="Z75" s="7">
        <f t="shared" si="60"/>
        <v>0.30069011529720835</v>
      </c>
    </row>
    <row r="76" spans="1:26" s="28" customFormat="1" outlineLevel="1" collapsed="1" x14ac:dyDescent="0.25">
      <c r="A76" s="27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SUM(OSRRefD22_16x_0)</f>
        <v>0</v>
      </c>
      <c r="E76" s="1"/>
      <c r="F76" s="5">
        <f t="shared" si="53"/>
        <v>0</v>
      </c>
      <c r="G76" s="1"/>
      <c r="H76" s="1">
        <f>SUM(OSRRefH22_16x_0)</f>
        <v>0</v>
      </c>
      <c r="I76" s="1"/>
      <c r="J76" s="5">
        <f t="shared" si="54"/>
        <v>0</v>
      </c>
      <c r="K76" s="1"/>
      <c r="L76" s="1">
        <f t="shared" si="55"/>
        <v>0</v>
      </c>
      <c r="M76" s="1"/>
      <c r="N76" s="5">
        <f t="shared" si="56"/>
        <v>0</v>
      </c>
      <c r="O76" s="14"/>
      <c r="P76" s="1">
        <f>SUM(OSRRefP22_16x_0)</f>
        <v>104.02</v>
      </c>
      <c r="Q76" s="1"/>
      <c r="R76" s="5">
        <f t="shared" si="57"/>
        <v>2.1092093530802262E-4</v>
      </c>
      <c r="S76" s="1"/>
      <c r="T76" s="1">
        <f>SUM(OSRRefT22_16x_0)</f>
        <v>0</v>
      </c>
      <c r="U76" s="1"/>
      <c r="V76" s="5">
        <f t="shared" si="58"/>
        <v>0</v>
      </c>
      <c r="W76" s="1"/>
      <c r="X76" s="1">
        <f t="shared" si="59"/>
        <v>104.02</v>
      </c>
      <c r="Y76" s="1"/>
      <c r="Z76" s="5">
        <f t="shared" si="60"/>
        <v>0</v>
      </c>
    </row>
    <row r="77" spans="1:26" s="24" customFormat="1" hidden="1" outlineLevel="2" x14ac:dyDescent="0.25">
      <c r="A77" s="29"/>
      <c r="B77" s="11" t="str">
        <f>CONCATENATE("          ", "6298", " - ", "VEHICLE MILEAGE")</f>
        <v xml:space="preserve">          6298 - VEHICLE MILEAGE</v>
      </c>
      <c r="C77" s="11"/>
      <c r="D77" s="6"/>
      <c r="E77" s="2"/>
      <c r="F77" s="7">
        <f t="shared" si="53"/>
        <v>0</v>
      </c>
      <c r="G77" s="2"/>
      <c r="H77" s="6"/>
      <c r="I77" s="2"/>
      <c r="J77" s="7">
        <f t="shared" si="54"/>
        <v>0</v>
      </c>
      <c r="K77" s="2"/>
      <c r="L77" s="6">
        <f t="shared" si="55"/>
        <v>0</v>
      </c>
      <c r="M77" s="2"/>
      <c r="N77" s="7">
        <f t="shared" si="56"/>
        <v>0</v>
      </c>
      <c r="O77" s="11"/>
      <c r="P77" s="6">
        <v>104.02</v>
      </c>
      <c r="Q77" s="2"/>
      <c r="R77" s="7">
        <f t="shared" si="57"/>
        <v>2.1092093530802262E-4</v>
      </c>
      <c r="S77" s="2"/>
      <c r="T77" s="6"/>
      <c r="U77" s="2"/>
      <c r="V77" s="7">
        <f t="shared" si="58"/>
        <v>0</v>
      </c>
      <c r="W77" s="2"/>
      <c r="X77" s="6">
        <f t="shared" si="59"/>
        <v>104.02</v>
      </c>
      <c r="Y77" s="2"/>
      <c r="Z77" s="7">
        <f t="shared" si="60"/>
        <v>0</v>
      </c>
    </row>
    <row r="78" spans="1:26" s="56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276</v>
      </c>
      <c r="C81" s="26"/>
      <c r="D81" s="22">
        <f>+D21-D23+D79</f>
        <v>17764.010000000038</v>
      </c>
      <c r="E81" s="13"/>
      <c r="F81" s="20">
        <f>IF(D$12=0,0,D81/D$12)</f>
        <v>6.1454486844426448E-2</v>
      </c>
      <c r="G81" s="13"/>
      <c r="H81" s="22">
        <f>+H21-H23+H79</f>
        <v>-62396.42</v>
      </c>
      <c r="I81" s="13"/>
      <c r="J81" s="20">
        <f>IF(H$12=0,0,H81/H$12)</f>
        <v>4.9737563500736943</v>
      </c>
      <c r="K81" s="15"/>
      <c r="L81" s="22">
        <f>+D81-H81</f>
        <v>80160.430000000037</v>
      </c>
      <c r="M81" s="15"/>
      <c r="N81" s="20">
        <f>IF(H81=0,0,L81/H81)</f>
        <v>-1.2846959809553182</v>
      </c>
      <c r="O81" s="25"/>
      <c r="P81" s="22">
        <f>+P21-P23+P79</f>
        <v>-103585.14999999991</v>
      </c>
      <c r="Q81" s="13"/>
      <c r="R81" s="20">
        <f>IF(P$12=0,0,P81/P$12)</f>
        <v>-0.21003919171334168</v>
      </c>
      <c r="S81" s="13"/>
      <c r="T81" s="22">
        <f>+T21-T23+T79</f>
        <v>-169497.89999999997</v>
      </c>
      <c r="U81" s="13"/>
      <c r="V81" s="20">
        <f>IF(T$12=0,0,T81/T$12)</f>
        <v>0</v>
      </c>
      <c r="W81" s="15"/>
      <c r="X81" s="22">
        <f>+P81-T81</f>
        <v>65912.750000000058</v>
      </c>
      <c r="Y81" s="15"/>
      <c r="Z81" s="20">
        <f>IF(T81=0,0,X81/T81)</f>
        <v>-0.38887059957675035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127</v>
      </c>
      <c r="C83" s="10"/>
      <c r="D83" s="4">
        <v>31742.48</v>
      </c>
      <c r="E83" s="4"/>
      <c r="F83" s="12">
        <f>IF(D$12=0,0,D83/D$12)</f>
        <v>0.10981292059447531</v>
      </c>
      <c r="G83" s="4"/>
      <c r="H83" s="4">
        <v>-2324.04</v>
      </c>
      <c r="I83" s="4"/>
      <c r="J83" s="12">
        <f>IF(H$12=0,0,H83/H$12)</f>
        <v>0.18525435766707879</v>
      </c>
      <c r="K83" s="4"/>
      <c r="L83" s="4">
        <f>+D83-H83</f>
        <v>34066.519999999997</v>
      </c>
      <c r="M83" s="4"/>
      <c r="N83" s="12">
        <f>IF(H83=0,0,L83/H83)</f>
        <v>-14.658319133921962</v>
      </c>
      <c r="O83" s="10"/>
      <c r="P83" s="4">
        <v>57006.44</v>
      </c>
      <c r="Q83" s="4"/>
      <c r="R83" s="12">
        <f>IF(P$12=0,0,P83/P$12)</f>
        <v>0.11559172893078902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57006.44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125</v>
      </c>
      <c r="C85" s="26"/>
      <c r="D85" s="33">
        <f>+D81-D83</f>
        <v>-13978.469999999961</v>
      </c>
      <c r="E85" s="13"/>
      <c r="F85" s="31">
        <f>IF(D$12=0,0,D85/D$12)</f>
        <v>-4.8358433750048863E-2</v>
      </c>
      <c r="G85" s="13"/>
      <c r="H85" s="33">
        <f>+H81-H83</f>
        <v>-60072.38</v>
      </c>
      <c r="I85" s="13"/>
      <c r="J85" s="31">
        <f>IF(H$12=0,0,H85/H$12)</f>
        <v>4.7885019924066157</v>
      </c>
      <c r="K85" s="15"/>
      <c r="L85" s="33">
        <f>D85-H85</f>
        <v>46093.910000000033</v>
      </c>
      <c r="M85" s="15"/>
      <c r="N85" s="31">
        <f>IF(H85=0,0,L85/H85)</f>
        <v>-0.76730620627982504</v>
      </c>
      <c r="O85" s="25"/>
      <c r="P85" s="33">
        <f>+P81-P83</f>
        <v>-160591.58999999991</v>
      </c>
      <c r="Q85" s="13"/>
      <c r="R85" s="31">
        <f>IF(P$12=0,0,P85/P$12)</f>
        <v>-0.32563092064413068</v>
      </c>
      <c r="S85" s="13"/>
      <c r="T85" s="33">
        <f>+T81-T83</f>
        <v>-169497.89999999997</v>
      </c>
      <c r="U85" s="13"/>
      <c r="V85" s="31">
        <f>IF(T$12=0,0,T85/T$12)</f>
        <v>0</v>
      </c>
      <c r="W85" s="15"/>
      <c r="X85" s="33">
        <f>P85-T85</f>
        <v>8906.3100000000559</v>
      </c>
      <c r="Y85" s="15"/>
      <c r="Z85" s="31">
        <f>IF(T85=0,0,X85/T85)</f>
        <v>-5.2545252773043546E-2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293</v>
      </c>
      <c r="C88" s="26"/>
      <c r="D88" s="34">
        <f>SUM(D85:D87)</f>
        <v>-13978.469999999961</v>
      </c>
      <c r="E88" s="13"/>
      <c r="F88" s="30">
        <f>IF(D$12=0,0,D88/D$12)</f>
        <v>-4.8358433750048863E-2</v>
      </c>
      <c r="G88" s="13"/>
      <c r="H88" s="34">
        <f>SUM(H85:H87)</f>
        <v>-60072.38</v>
      </c>
      <c r="I88" s="13"/>
      <c r="J88" s="30">
        <f>IF(H$12=0,0,H88/H$12)</f>
        <v>4.7885019924066157</v>
      </c>
      <c r="K88" s="15"/>
      <c r="L88" s="34">
        <f>+D88-H88</f>
        <v>46093.910000000033</v>
      </c>
      <c r="M88" s="15"/>
      <c r="N88" s="30">
        <f>IF(H88=0,0,L88/H88)</f>
        <v>-0.76730620627982504</v>
      </c>
      <c r="O88" s="25"/>
      <c r="P88" s="34">
        <f>SUM(P85:P87)</f>
        <v>-160591.58999999991</v>
      </c>
      <c r="Q88" s="13"/>
      <c r="R88" s="30">
        <f>IF(P$12=0,0,P88/P$12)</f>
        <v>-0.32563092064413068</v>
      </c>
      <c r="S88" s="13"/>
      <c r="T88" s="34">
        <f>SUM(T85:T87)</f>
        <v>-169497.89999999997</v>
      </c>
      <c r="U88" s="13"/>
      <c r="V88" s="30">
        <f>IF(T$12=0,0,T88/T$12)</f>
        <v>0</v>
      </c>
      <c r="W88" s="15"/>
      <c r="X88" s="34">
        <f>+P88-T88</f>
        <v>8906.3100000000559</v>
      </c>
      <c r="Y88" s="15"/>
      <c r="Z88" s="30">
        <f>IF(T88=0,0,X88/T88)</f>
        <v>-5.2545252773043546E-2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1">
        <v>44517.967041516204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7" t="s">
        <v>56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8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">
        <v>104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35077</v>
      </c>
      <c r="E12" s="4"/>
      <c r="F12" s="12"/>
      <c r="G12" s="4"/>
      <c r="H12" s="4">
        <f>SUM(OSRRefH13x_0)</f>
        <v>151563</v>
      </c>
      <c r="I12" s="4"/>
      <c r="J12" s="12"/>
      <c r="K12" s="4"/>
      <c r="L12" s="4">
        <f t="shared" ref="L12:L13" si="0">+D12-H12</f>
        <v>-116486</v>
      </c>
      <c r="M12" s="4"/>
      <c r="N12" s="12">
        <f t="shared" ref="N12:N13" si="1">IF(H12=0,0,L12/H12)</f>
        <v>-0.76856488720861948</v>
      </c>
      <c r="O12" s="10"/>
      <c r="P12" s="4">
        <f>SUM(OSRRefP13x_0)</f>
        <v>288347</v>
      </c>
      <c r="Q12" s="4"/>
      <c r="R12" s="12"/>
      <c r="S12" s="4"/>
      <c r="T12" s="4">
        <f>SUM(OSRRefT13x_0)</f>
        <v>269605</v>
      </c>
      <c r="U12" s="4"/>
      <c r="V12" s="12"/>
      <c r="W12" s="4"/>
      <c r="X12" s="4">
        <f t="shared" ref="X12:X13" si="2">+P12-T12</f>
        <v>18742</v>
      </c>
      <c r="Y12" s="4"/>
      <c r="Z12" s="12">
        <f t="shared" ref="Z12:Z13" si="3">IF(T12=0,0,X12/T12)</f>
        <v>6.9516514901429863E-2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--35077</f>
        <v>35077</v>
      </c>
      <c r="E13" s="2"/>
      <c r="F13" s="19"/>
      <c r="G13" s="2"/>
      <c r="H13" s="2">
        <f>--151563</f>
        <v>151563</v>
      </c>
      <c r="I13" s="2"/>
      <c r="J13" s="19"/>
      <c r="K13" s="2"/>
      <c r="L13" s="2">
        <f t="shared" si="0"/>
        <v>-116486</v>
      </c>
      <c r="M13" s="2"/>
      <c r="N13" s="19">
        <f t="shared" si="1"/>
        <v>-0.76856488720861948</v>
      </c>
      <c r="O13" s="11"/>
      <c r="P13" s="2">
        <f>--288347</f>
        <v>288347</v>
      </c>
      <c r="Q13" s="2"/>
      <c r="R13" s="19"/>
      <c r="S13" s="2"/>
      <c r="T13" s="2">
        <f>--269605</f>
        <v>269605</v>
      </c>
      <c r="U13" s="2"/>
      <c r="V13" s="19"/>
      <c r="W13" s="2"/>
      <c r="X13" s="2">
        <f t="shared" si="2"/>
        <v>18742</v>
      </c>
      <c r="Y13" s="2"/>
      <c r="Z13" s="19">
        <f t="shared" si="3"/>
        <v>6.9516514901429863E-2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D12-D15</f>
        <v>35077</v>
      </c>
      <c r="E17" s="13"/>
      <c r="F17" s="20">
        <f>IF(D$12=0,0,D17/D$12)</f>
        <v>1</v>
      </c>
      <c r="G17" s="13"/>
      <c r="H17" s="22">
        <f>H12-H15</f>
        <v>151563</v>
      </c>
      <c r="I17" s="13"/>
      <c r="J17" s="20">
        <f>IF(H$12=0,0,H17/H$12)</f>
        <v>1</v>
      </c>
      <c r="K17" s="15"/>
      <c r="L17" s="22">
        <f>+D17-H17</f>
        <v>-116486</v>
      </c>
      <c r="M17" s="15"/>
      <c r="N17" s="20">
        <f>IF(H17=0,0,L17/H17)</f>
        <v>-0.76856488720861948</v>
      </c>
      <c r="O17" s="25"/>
      <c r="P17" s="22">
        <f>P12-P15</f>
        <v>288347</v>
      </c>
      <c r="Q17" s="13"/>
      <c r="R17" s="20">
        <f>IF(P$12=0,0,P17/P$12)</f>
        <v>1</v>
      </c>
      <c r="S17" s="13"/>
      <c r="T17" s="22">
        <f>T12-T15</f>
        <v>269605</v>
      </c>
      <c r="U17" s="13"/>
      <c r="V17" s="20">
        <f>IF(T$12=0,0,T17/T$12)</f>
        <v>1</v>
      </c>
      <c r="W17" s="15"/>
      <c r="X17" s="22">
        <f>+P17-T17</f>
        <v>18742</v>
      </c>
      <c r="Y17" s="15"/>
      <c r="Z17" s="20">
        <f>IF(T17=0,0,X17/T17)</f>
        <v>6.9516514901429863E-2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SUM(OSRRefD22x_0)</f>
        <v>37178.060000000005</v>
      </c>
      <c r="E19" s="21"/>
      <c r="F19" s="36">
        <f t="shared" ref="F19:F29" si="4">IF(D$12=0,0,D19/D$12)</f>
        <v>1.0598985089944979</v>
      </c>
      <c r="G19" s="21"/>
      <c r="H19" s="21">
        <f>SUM(OSRRefH22x_0)</f>
        <v>144748.98999999996</v>
      </c>
      <c r="I19" s="21"/>
      <c r="J19" s="36">
        <f t="shared" ref="J19:J29" si="5">IF(H$12=0,0,H19/H$12)</f>
        <v>0.95504173182109064</v>
      </c>
      <c r="K19" s="4"/>
      <c r="L19" s="21">
        <f t="shared" ref="L19:L29" si="6">+D19-H19</f>
        <v>-107570.92999999996</v>
      </c>
      <c r="M19" s="4"/>
      <c r="N19" s="36">
        <f t="shared" ref="N19:N29" si="7">IF(H19=0,0,L19/H19)</f>
        <v>-0.74315496087399291</v>
      </c>
      <c r="O19" s="10"/>
      <c r="P19" s="21">
        <f>SUM(OSRRefP22x_0)</f>
        <v>225884.85000000003</v>
      </c>
      <c r="Q19" s="21"/>
      <c r="R19" s="36">
        <f t="shared" ref="R19:R29" si="8">IF(P$12=0,0,P19/P$12)</f>
        <v>0.78337853350303643</v>
      </c>
      <c r="S19" s="21"/>
      <c r="T19" s="21">
        <f>SUM(OSRRefT22x_0)</f>
        <v>248711.98</v>
      </c>
      <c r="U19" s="21"/>
      <c r="V19" s="36">
        <f t="shared" ref="V19:V29" si="9">IF(T$12=0,0,T19/T$12)</f>
        <v>0.9225050722353072</v>
      </c>
      <c r="W19" s="4"/>
      <c r="X19" s="21">
        <f t="shared" ref="X19:X29" si="10">+P19-T19</f>
        <v>-22827.129999999976</v>
      </c>
      <c r="Y19" s="4"/>
      <c r="Z19" s="36">
        <f t="shared" ref="Z19:Z29" si="11">IF(T19=0,0,X19/T19)</f>
        <v>-9.178138503822765E-2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4997.1099999999997</v>
      </c>
      <c r="E20" s="1"/>
      <c r="F20" s="5">
        <f t="shared" si="4"/>
        <v>0.14246115688342786</v>
      </c>
      <c r="G20" s="1"/>
      <c r="H20" s="1">
        <f>SUM(OSRRefH22_0x_0)</f>
        <v>4682.09</v>
      </c>
      <c r="I20" s="1"/>
      <c r="J20" s="5">
        <f t="shared" si="5"/>
        <v>3.0892038294306659E-2</v>
      </c>
      <c r="K20" s="1"/>
      <c r="L20" s="1">
        <f t="shared" si="6"/>
        <v>315.01999999999953</v>
      </c>
      <c r="M20" s="1"/>
      <c r="N20" s="5">
        <f t="shared" si="7"/>
        <v>6.7281918972082883E-2</v>
      </c>
      <c r="O20" s="14"/>
      <c r="P20" s="1">
        <f>SUM(OSRRefP22_0x_0)</f>
        <v>16225.33</v>
      </c>
      <c r="Q20" s="1"/>
      <c r="R20" s="5">
        <f t="shared" si="8"/>
        <v>5.6270153669016845E-2</v>
      </c>
      <c r="S20" s="1"/>
      <c r="T20" s="1">
        <f>SUM(OSRRefT22_0x_0)</f>
        <v>16858.739999999998</v>
      </c>
      <c r="U20" s="1"/>
      <c r="V20" s="5">
        <f t="shared" si="9"/>
        <v>6.2531258693273487E-2</v>
      </c>
      <c r="W20" s="1"/>
      <c r="X20" s="1">
        <f t="shared" si="10"/>
        <v>-633.40999999999804</v>
      </c>
      <c r="Y20" s="1"/>
      <c r="Z20" s="5">
        <f t="shared" si="11"/>
        <v>-3.7571609740704115E-2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1435.84</v>
      </c>
      <c r="E21" s="2"/>
      <c r="F21" s="7">
        <f t="shared" si="4"/>
        <v>4.0933945320295345E-2</v>
      </c>
      <c r="G21" s="2"/>
      <c r="H21" s="6">
        <v>1375.38</v>
      </c>
      <c r="I21" s="2"/>
      <c r="J21" s="7">
        <f t="shared" si="5"/>
        <v>9.074642227984403E-3</v>
      </c>
      <c r="K21" s="2"/>
      <c r="L21" s="6">
        <f t="shared" si="6"/>
        <v>60.459999999999809</v>
      </c>
      <c r="M21" s="2"/>
      <c r="N21" s="7">
        <f t="shared" si="7"/>
        <v>4.3958760488010444E-2</v>
      </c>
      <c r="O21" s="11"/>
      <c r="P21" s="6">
        <v>4889.28</v>
      </c>
      <c r="Q21" s="2"/>
      <c r="R21" s="7">
        <f t="shared" si="8"/>
        <v>1.6956236756408078E-2</v>
      </c>
      <c r="S21" s="2"/>
      <c r="T21" s="6">
        <v>4521.6400000000003</v>
      </c>
      <c r="U21" s="2"/>
      <c r="V21" s="7">
        <f t="shared" si="9"/>
        <v>1.6771350679698076E-2</v>
      </c>
      <c r="W21" s="2"/>
      <c r="X21" s="6">
        <f t="shared" si="10"/>
        <v>367.63999999999942</v>
      </c>
      <c r="Y21" s="2"/>
      <c r="Z21" s="7">
        <f t="shared" si="11"/>
        <v>8.1306782494846866E-2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242.24</v>
      </c>
      <c r="E22" s="2"/>
      <c r="F22" s="7">
        <f t="shared" si="4"/>
        <v>6.9059497676540182E-3</v>
      </c>
      <c r="G22" s="2"/>
      <c r="H22" s="6">
        <v>79.05</v>
      </c>
      <c r="I22" s="2"/>
      <c r="J22" s="7">
        <f t="shared" si="5"/>
        <v>5.2156528968151856E-4</v>
      </c>
      <c r="K22" s="2"/>
      <c r="L22" s="6">
        <f t="shared" si="6"/>
        <v>163.19</v>
      </c>
      <c r="M22" s="2"/>
      <c r="N22" s="7">
        <f t="shared" si="7"/>
        <v>2.0643896268184694</v>
      </c>
      <c r="O22" s="11"/>
      <c r="P22" s="6">
        <v>738.97</v>
      </c>
      <c r="Q22" s="2"/>
      <c r="R22" s="7">
        <f t="shared" si="8"/>
        <v>2.5627802612824134E-3</v>
      </c>
      <c r="S22" s="2"/>
      <c r="T22" s="6">
        <v>323.54000000000002</v>
      </c>
      <c r="U22" s="2"/>
      <c r="V22" s="7">
        <f t="shared" si="9"/>
        <v>1.2000519278203298E-3</v>
      </c>
      <c r="W22" s="2"/>
      <c r="X22" s="6">
        <f t="shared" si="10"/>
        <v>415.43</v>
      </c>
      <c r="Y22" s="2"/>
      <c r="Z22" s="7">
        <f t="shared" si="11"/>
        <v>1.2840143413488285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3.0058157767197877E-2</v>
      </c>
      <c r="G23" s="2"/>
      <c r="H23" s="6">
        <v>1230.45</v>
      </c>
      <c r="I23" s="2"/>
      <c r="J23" s="7">
        <f t="shared" si="5"/>
        <v>8.118406207319729E-3</v>
      </c>
      <c r="K23" s="2"/>
      <c r="L23" s="6">
        <f t="shared" si="6"/>
        <v>-176.10000000000014</v>
      </c>
      <c r="M23" s="2"/>
      <c r="N23" s="7">
        <f t="shared" si="7"/>
        <v>-0.14311837132756319</v>
      </c>
      <c r="O23" s="11"/>
      <c r="P23" s="6">
        <v>4217.3999999999996</v>
      </c>
      <c r="Q23" s="2"/>
      <c r="R23" s="7">
        <f t="shared" si="8"/>
        <v>1.462612754771161E-2</v>
      </c>
      <c r="S23" s="2"/>
      <c r="T23" s="6">
        <v>4942.1000000000004</v>
      </c>
      <c r="U23" s="2"/>
      <c r="V23" s="7">
        <f t="shared" si="9"/>
        <v>1.8330891489401164E-2</v>
      </c>
      <c r="W23" s="2"/>
      <c r="X23" s="6">
        <f t="shared" si="10"/>
        <v>-724.70000000000073</v>
      </c>
      <c r="Y23" s="2"/>
      <c r="Z23" s="7">
        <f t="shared" si="11"/>
        <v>-0.14663806883713415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48.06</v>
      </c>
      <c r="E24" s="2"/>
      <c r="F24" s="7">
        <f t="shared" si="4"/>
        <v>1.3701285742794423E-3</v>
      </c>
      <c r="G24" s="2"/>
      <c r="H24" s="6">
        <v>35.130000000000003</v>
      </c>
      <c r="I24" s="2"/>
      <c r="J24" s="7">
        <f t="shared" si="5"/>
        <v>2.3178480235941493E-4</v>
      </c>
      <c r="K24" s="2"/>
      <c r="L24" s="6">
        <f t="shared" si="6"/>
        <v>12.93</v>
      </c>
      <c r="M24" s="2"/>
      <c r="N24" s="7">
        <f t="shared" si="7"/>
        <v>0.36806148590947907</v>
      </c>
      <c r="O24" s="11"/>
      <c r="P24" s="6">
        <v>146.16</v>
      </c>
      <c r="Q24" s="2"/>
      <c r="R24" s="7">
        <f t="shared" si="8"/>
        <v>5.0688926883234436E-4</v>
      </c>
      <c r="S24" s="2"/>
      <c r="T24" s="6">
        <v>146.30000000000001</v>
      </c>
      <c r="U24" s="2"/>
      <c r="V24" s="7">
        <f t="shared" si="9"/>
        <v>5.4264572244580036E-4</v>
      </c>
      <c r="W24" s="2"/>
      <c r="X24" s="6">
        <f t="shared" si="10"/>
        <v>-0.14000000000001478</v>
      </c>
      <c r="Y24" s="2"/>
      <c r="Z24" s="7">
        <f t="shared" si="11"/>
        <v>-9.5693779904316317E-4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879.87</v>
      </c>
      <c r="E25" s="2"/>
      <c r="F25" s="7">
        <f t="shared" si="4"/>
        <v>2.5083958149214585E-2</v>
      </c>
      <c r="G25" s="2"/>
      <c r="H25" s="6">
        <v>640.35</v>
      </c>
      <c r="I25" s="2"/>
      <c r="J25" s="7">
        <f t="shared" si="5"/>
        <v>4.2249757526573112E-3</v>
      </c>
      <c r="K25" s="2"/>
      <c r="L25" s="6">
        <f t="shared" si="6"/>
        <v>239.51999999999998</v>
      </c>
      <c r="M25" s="2"/>
      <c r="N25" s="7">
        <f t="shared" si="7"/>
        <v>0.37404544389786831</v>
      </c>
      <c r="O25" s="11"/>
      <c r="P25" s="6">
        <v>2639.61</v>
      </c>
      <c r="Q25" s="2"/>
      <c r="R25" s="7">
        <f t="shared" si="8"/>
        <v>9.1542828605811755E-3</v>
      </c>
      <c r="S25" s="2"/>
      <c r="T25" s="6">
        <v>2860.49</v>
      </c>
      <c r="U25" s="2"/>
      <c r="V25" s="7">
        <f t="shared" si="9"/>
        <v>1.0609929341073051E-2</v>
      </c>
      <c r="W25" s="2"/>
      <c r="X25" s="6">
        <f t="shared" si="10"/>
        <v>-220.87999999999965</v>
      </c>
      <c r="Y25" s="2"/>
      <c r="Z25" s="7">
        <f t="shared" si="11"/>
        <v>-7.7217539652297218E-2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4"/>
        <v>0</v>
      </c>
      <c r="G26" s="2"/>
      <c r="H26" s="6">
        <v>92.8</v>
      </c>
      <c r="I26" s="2"/>
      <c r="J26" s="7">
        <f t="shared" si="5"/>
        <v>6.1228663987912611E-4</v>
      </c>
      <c r="K26" s="2"/>
      <c r="L26" s="6">
        <f t="shared" si="6"/>
        <v>-92.8</v>
      </c>
      <c r="M26" s="2"/>
      <c r="N26" s="7">
        <f t="shared" si="7"/>
        <v>-1</v>
      </c>
      <c r="O26" s="11"/>
      <c r="P26" s="6">
        <v>215.15</v>
      </c>
      <c r="Q26" s="2"/>
      <c r="R26" s="7">
        <f t="shared" si="8"/>
        <v>7.4614960446961476E-4</v>
      </c>
      <c r="S26" s="2"/>
      <c r="T26" s="6">
        <v>377.9</v>
      </c>
      <c r="U26" s="2"/>
      <c r="V26" s="7">
        <f t="shared" si="9"/>
        <v>1.4016802359006694E-3</v>
      </c>
      <c r="W26" s="2"/>
      <c r="X26" s="6">
        <f t="shared" si="10"/>
        <v>-162.74999999999997</v>
      </c>
      <c r="Y26" s="2"/>
      <c r="Z26" s="7">
        <f t="shared" si="11"/>
        <v>-0.43066948928287901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6">
        <v>748.88</v>
      </c>
      <c r="E27" s="2"/>
      <c r="F27" s="7">
        <f t="shared" si="4"/>
        <v>2.1349602303503721E-2</v>
      </c>
      <c r="G27" s="2"/>
      <c r="H27" s="6">
        <v>780.03</v>
      </c>
      <c r="I27" s="2"/>
      <c r="J27" s="7">
        <f t="shared" si="5"/>
        <v>5.1465727123374437E-3</v>
      </c>
      <c r="K27" s="2"/>
      <c r="L27" s="6">
        <f t="shared" si="6"/>
        <v>-31.149999999999977</v>
      </c>
      <c r="M27" s="2"/>
      <c r="N27" s="7">
        <f t="shared" si="7"/>
        <v>-3.993436149891668E-2</v>
      </c>
      <c r="O27" s="11"/>
      <c r="P27" s="6">
        <v>1990.16</v>
      </c>
      <c r="Q27" s="2"/>
      <c r="R27" s="7">
        <f t="shared" si="8"/>
        <v>6.9019618723274393E-3</v>
      </c>
      <c r="S27" s="2"/>
      <c r="T27" s="6">
        <v>2340.09</v>
      </c>
      <c r="U27" s="2"/>
      <c r="V27" s="7">
        <f t="shared" si="9"/>
        <v>8.6796980768160826E-3</v>
      </c>
      <c r="W27" s="2"/>
      <c r="X27" s="6">
        <f t="shared" si="10"/>
        <v>-349.93000000000006</v>
      </c>
      <c r="Y27" s="2"/>
      <c r="Z27" s="7">
        <f t="shared" si="11"/>
        <v>-0.14953698362028814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6">
        <v>400.37</v>
      </c>
      <c r="E28" s="2"/>
      <c r="F28" s="7">
        <f t="shared" si="4"/>
        <v>1.1414031986771959E-2</v>
      </c>
      <c r="G28" s="2"/>
      <c r="H28" s="6">
        <v>448.9</v>
      </c>
      <c r="I28" s="2"/>
      <c r="J28" s="7">
        <f t="shared" si="5"/>
        <v>2.9618046620877125E-3</v>
      </c>
      <c r="K28" s="2"/>
      <c r="L28" s="6">
        <f t="shared" si="6"/>
        <v>-48.529999999999973</v>
      </c>
      <c r="M28" s="2"/>
      <c r="N28" s="7">
        <f t="shared" si="7"/>
        <v>-0.10810871018044102</v>
      </c>
      <c r="O28" s="11"/>
      <c r="P28" s="6">
        <v>1201.0999999999999</v>
      </c>
      <c r="Q28" s="2"/>
      <c r="R28" s="7">
        <f t="shared" si="8"/>
        <v>4.1654673015498684E-3</v>
      </c>
      <c r="S28" s="2"/>
      <c r="T28" s="6">
        <v>1346.68</v>
      </c>
      <c r="U28" s="2"/>
      <c r="V28" s="7">
        <f t="shared" si="9"/>
        <v>4.9950112201183217E-3</v>
      </c>
      <c r="W28" s="2"/>
      <c r="X28" s="6">
        <f t="shared" si="10"/>
        <v>-145.58000000000015</v>
      </c>
      <c r="Y28" s="2"/>
      <c r="Z28" s="7">
        <f t="shared" si="11"/>
        <v>-0.10810289007039545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187.5</v>
      </c>
      <c r="E29" s="2"/>
      <c r="F29" s="7">
        <f t="shared" si="4"/>
        <v>5.3453830145109328E-3</v>
      </c>
      <c r="G29" s="2"/>
      <c r="H29" s="6"/>
      <c r="I29" s="2"/>
      <c r="J29" s="7">
        <f t="shared" si="5"/>
        <v>0</v>
      </c>
      <c r="K29" s="2"/>
      <c r="L29" s="6">
        <f t="shared" si="6"/>
        <v>187.5</v>
      </c>
      <c r="M29" s="2"/>
      <c r="N29" s="7">
        <f t="shared" si="7"/>
        <v>0</v>
      </c>
      <c r="O29" s="11"/>
      <c r="P29" s="6">
        <v>187.5</v>
      </c>
      <c r="Q29" s="2"/>
      <c r="R29" s="7">
        <f t="shared" si="8"/>
        <v>6.5025819585430057E-4</v>
      </c>
      <c r="S29" s="2"/>
      <c r="T29" s="6"/>
      <c r="U29" s="2"/>
      <c r="V29" s="7">
        <f t="shared" si="9"/>
        <v>0</v>
      </c>
      <c r="W29" s="2"/>
      <c r="X29" s="6">
        <f t="shared" si="10"/>
        <v>187.5</v>
      </c>
      <c r="Y29" s="2"/>
      <c r="Z29" s="7">
        <f t="shared" si="11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15533.409999999998</v>
      </c>
      <c r="E30" s="1"/>
      <c r="F30" s="5">
        <f t="shared" ref="F30:F36" si="12">IF(D$12=0,0,D30/D$12)</f>
        <v>0.44283747184764938</v>
      </c>
      <c r="G30" s="1"/>
      <c r="H30" s="1">
        <f>SUM(OSRRefH22_1x_0)</f>
        <v>15690.42</v>
      </c>
      <c r="I30" s="1"/>
      <c r="J30" s="5">
        <f t="shared" ref="J30:J36" si="13">IF(H$12=0,0,H30/H$12)</f>
        <v>0.10352407909582154</v>
      </c>
      <c r="K30" s="1"/>
      <c r="L30" s="1">
        <f t="shared" ref="L30:L36" si="14">+D30-H30</f>
        <v>-157.01000000000204</v>
      </c>
      <c r="M30" s="1"/>
      <c r="N30" s="5">
        <f t="shared" ref="N30:N36" si="15">IF(H30=0,0,L30/H30)</f>
        <v>-1.0006742968002261E-2</v>
      </c>
      <c r="O30" s="14"/>
      <c r="P30" s="1">
        <f>SUM(OSRRefP22_1x_0)</f>
        <v>65671.909999999989</v>
      </c>
      <c r="Q30" s="1"/>
      <c r="R30" s="5">
        <f t="shared" ref="R30:R36" si="16">IF(P$12=0,0,P30/P$12)</f>
        <v>0.22775305447949862</v>
      </c>
      <c r="S30" s="1"/>
      <c r="T30" s="1">
        <f>SUM(OSRRefT22_1x_0)</f>
        <v>61737.279999999999</v>
      </c>
      <c r="U30" s="1"/>
      <c r="V30" s="5">
        <f t="shared" ref="V30:V36" si="17">IF(T$12=0,0,T30/T$12)</f>
        <v>0.22899159882049666</v>
      </c>
      <c r="W30" s="1"/>
      <c r="X30" s="1">
        <f t="shared" ref="X30:X36" si="18">+P30-T30</f>
        <v>3934.6299999999901</v>
      </c>
      <c r="Y30" s="1"/>
      <c r="Z30" s="5">
        <f t="shared" ref="Z30:Z36" si="19">IF(T30=0,0,X30/T30)</f>
        <v>6.3731832694929061E-2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>
        <v>4926.79</v>
      </c>
      <c r="E31" s="2"/>
      <c r="F31" s="7">
        <f t="shared" si="12"/>
        <v>0.14045642443766571</v>
      </c>
      <c r="G31" s="2"/>
      <c r="H31" s="6">
        <v>4205.1400000000003</v>
      </c>
      <c r="I31" s="2"/>
      <c r="J31" s="7">
        <f t="shared" si="13"/>
        <v>2.7745162077815827E-2</v>
      </c>
      <c r="K31" s="2"/>
      <c r="L31" s="6">
        <f t="shared" si="14"/>
        <v>721.64999999999964</v>
      </c>
      <c r="M31" s="2"/>
      <c r="N31" s="7">
        <f t="shared" si="15"/>
        <v>0.17161140889482862</v>
      </c>
      <c r="O31" s="11"/>
      <c r="P31" s="6">
        <v>19484.09</v>
      </c>
      <c r="Q31" s="2"/>
      <c r="R31" s="7">
        <f t="shared" si="16"/>
        <v>6.7571675793401703E-2</v>
      </c>
      <c r="S31" s="2"/>
      <c r="T31" s="6">
        <v>17874.3</v>
      </c>
      <c r="U31" s="2"/>
      <c r="V31" s="7">
        <f t="shared" si="17"/>
        <v>6.6298102779992957E-2</v>
      </c>
      <c r="W31" s="2"/>
      <c r="X31" s="6">
        <f t="shared" si="18"/>
        <v>1609.7900000000009</v>
      </c>
      <c r="Y31" s="2"/>
      <c r="Z31" s="7">
        <f t="shared" si="19"/>
        <v>9.0061708710271221E-2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>
        <v>980.59</v>
      </c>
      <c r="E32" s="2"/>
      <c r="F32" s="7">
        <f t="shared" si="12"/>
        <v>2.7955355361062806E-2</v>
      </c>
      <c r="G32" s="2"/>
      <c r="H32" s="6">
        <v>2852.45</v>
      </c>
      <c r="I32" s="2"/>
      <c r="J32" s="7">
        <f t="shared" si="13"/>
        <v>1.8820226572448421E-2</v>
      </c>
      <c r="K32" s="2"/>
      <c r="L32" s="6">
        <f t="shared" si="14"/>
        <v>-1871.8599999999997</v>
      </c>
      <c r="M32" s="2"/>
      <c r="N32" s="7">
        <f t="shared" si="15"/>
        <v>-0.65622885589580882</v>
      </c>
      <c r="O32" s="11"/>
      <c r="P32" s="6">
        <v>9036.57</v>
      </c>
      <c r="Q32" s="2"/>
      <c r="R32" s="7">
        <f t="shared" si="16"/>
        <v>3.1339219759525846E-2</v>
      </c>
      <c r="S32" s="2"/>
      <c r="T32" s="6">
        <v>9813.89</v>
      </c>
      <c r="U32" s="2"/>
      <c r="V32" s="7">
        <f t="shared" si="17"/>
        <v>3.6400994046846311E-2</v>
      </c>
      <c r="W32" s="2"/>
      <c r="X32" s="6">
        <f t="shared" si="18"/>
        <v>-777.31999999999971</v>
      </c>
      <c r="Y32" s="2"/>
      <c r="Z32" s="7">
        <f t="shared" si="19"/>
        <v>-7.9206104816744408E-2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>
        <v>1739.5</v>
      </c>
      <c r="E33" s="2"/>
      <c r="F33" s="7">
        <f t="shared" si="12"/>
        <v>4.95909000199561E-2</v>
      </c>
      <c r="G33" s="2"/>
      <c r="H33" s="6"/>
      <c r="I33" s="2"/>
      <c r="J33" s="7">
        <f t="shared" si="13"/>
        <v>0</v>
      </c>
      <c r="K33" s="2"/>
      <c r="L33" s="6">
        <f t="shared" si="14"/>
        <v>1739.5</v>
      </c>
      <c r="M33" s="2"/>
      <c r="N33" s="7">
        <f t="shared" si="15"/>
        <v>0</v>
      </c>
      <c r="O33" s="11"/>
      <c r="P33" s="6">
        <v>6649.9</v>
      </c>
      <c r="Q33" s="2"/>
      <c r="R33" s="7">
        <f t="shared" si="16"/>
        <v>2.3062143875261402E-2</v>
      </c>
      <c r="S33" s="2"/>
      <c r="T33" s="6"/>
      <c r="U33" s="2"/>
      <c r="V33" s="7">
        <f t="shared" si="17"/>
        <v>0</v>
      </c>
      <c r="W33" s="2"/>
      <c r="X33" s="6">
        <f t="shared" si="18"/>
        <v>6649.9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>
        <v>8606.81</v>
      </c>
      <c r="E34" s="2"/>
      <c r="F34" s="7">
        <f t="shared" si="12"/>
        <v>0.24536904524332181</v>
      </c>
      <c r="G34" s="2"/>
      <c r="H34" s="6">
        <v>8347.7999999999993</v>
      </c>
      <c r="I34" s="2"/>
      <c r="J34" s="7">
        <f t="shared" si="13"/>
        <v>5.5078086340333718E-2</v>
      </c>
      <c r="K34" s="2"/>
      <c r="L34" s="6">
        <f t="shared" si="14"/>
        <v>259.01000000000022</v>
      </c>
      <c r="M34" s="2"/>
      <c r="N34" s="7">
        <f t="shared" si="15"/>
        <v>3.102733654376006E-2</v>
      </c>
      <c r="O34" s="11"/>
      <c r="P34" s="6">
        <v>27449.93</v>
      </c>
      <c r="Q34" s="2"/>
      <c r="R34" s="7">
        <f t="shared" si="16"/>
        <v>9.5197557110009809E-2</v>
      </c>
      <c r="S34" s="2"/>
      <c r="T34" s="6">
        <v>29353.32</v>
      </c>
      <c r="U34" s="2"/>
      <c r="V34" s="7">
        <f t="shared" si="17"/>
        <v>0.10887528050295803</v>
      </c>
      <c r="W34" s="2"/>
      <c r="X34" s="6">
        <f t="shared" si="18"/>
        <v>-1903.3899999999994</v>
      </c>
      <c r="Y34" s="2"/>
      <c r="Z34" s="7">
        <f t="shared" si="19"/>
        <v>-6.4844113033891884E-2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6">
        <v>-884.5</v>
      </c>
      <c r="E35" s="2"/>
      <c r="F35" s="7">
        <f t="shared" si="12"/>
        <v>-2.5215953473786242E-2</v>
      </c>
      <c r="G35" s="2"/>
      <c r="H35" s="6">
        <v>-756.15</v>
      </c>
      <c r="I35" s="2"/>
      <c r="J35" s="7">
        <f t="shared" si="13"/>
        <v>-4.989014469230617E-3</v>
      </c>
      <c r="K35" s="2"/>
      <c r="L35" s="6">
        <f t="shared" si="14"/>
        <v>-128.35000000000002</v>
      </c>
      <c r="M35" s="2"/>
      <c r="N35" s="7">
        <f t="shared" si="15"/>
        <v>0.16974145341532768</v>
      </c>
      <c r="O35" s="11"/>
      <c r="P35" s="6">
        <v>2887.2</v>
      </c>
      <c r="Q35" s="2"/>
      <c r="R35" s="7">
        <f t="shared" si="16"/>
        <v>1.001293580304286E-2</v>
      </c>
      <c r="S35" s="2"/>
      <c r="T35" s="6">
        <v>2811.23</v>
      </c>
      <c r="U35" s="2"/>
      <c r="V35" s="7">
        <f t="shared" si="17"/>
        <v>1.0427217596112832E-2</v>
      </c>
      <c r="W35" s="2"/>
      <c r="X35" s="6">
        <f t="shared" si="18"/>
        <v>75.9699999999998</v>
      </c>
      <c r="Y35" s="2"/>
      <c r="Z35" s="7">
        <f t="shared" si="19"/>
        <v>2.7023758283740498E-2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6">
        <v>164.22</v>
      </c>
      <c r="E36" s="2"/>
      <c r="F36" s="7">
        <f t="shared" si="12"/>
        <v>4.6817002594292554E-3</v>
      </c>
      <c r="G36" s="2"/>
      <c r="H36" s="6">
        <v>1041.18</v>
      </c>
      <c r="I36" s="2"/>
      <c r="J36" s="7">
        <f t="shared" si="13"/>
        <v>6.8696185744541874E-3</v>
      </c>
      <c r="K36" s="2"/>
      <c r="L36" s="6">
        <f t="shared" si="14"/>
        <v>-876.96</v>
      </c>
      <c r="M36" s="2"/>
      <c r="N36" s="7">
        <f t="shared" si="15"/>
        <v>-0.84227511093182739</v>
      </c>
      <c r="O36" s="11"/>
      <c r="P36" s="6">
        <v>164.22</v>
      </c>
      <c r="Q36" s="2"/>
      <c r="R36" s="7">
        <f t="shared" si="16"/>
        <v>5.6952213825703054E-4</v>
      </c>
      <c r="S36" s="2"/>
      <c r="T36" s="6">
        <v>1884.54</v>
      </c>
      <c r="U36" s="2"/>
      <c r="V36" s="7">
        <f t="shared" si="17"/>
        <v>6.9900038945865245E-3</v>
      </c>
      <c r="W36" s="2"/>
      <c r="X36" s="6">
        <f t="shared" si="18"/>
        <v>-1720.32</v>
      </c>
      <c r="Y36" s="2"/>
      <c r="Z36" s="7">
        <f t="shared" si="19"/>
        <v>-0.91285937151771779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77.180000000000007</v>
      </c>
      <c r="E37" s="1"/>
      <c r="F37" s="5">
        <f t="shared" ref="F37:F43" si="20">IF(D$12=0,0,D37/D$12)</f>
        <v>2.2003021923197538E-3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77.180000000000007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3.9001619576413139E-4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6">
        <v>77.180000000000007</v>
      </c>
      <c r="E38" s="2"/>
      <c r="F38" s="7">
        <f t="shared" si="20"/>
        <v>2.2003021923197538E-3</v>
      </c>
      <c r="G38" s="2"/>
      <c r="H38" s="6"/>
      <c r="I38" s="2"/>
      <c r="J38" s="7">
        <f t="shared" si="21"/>
        <v>0</v>
      </c>
      <c r="K38" s="2"/>
      <c r="L38" s="6">
        <f t="shared" si="22"/>
        <v>77.180000000000007</v>
      </c>
      <c r="M38" s="2"/>
      <c r="N38" s="7">
        <f t="shared" si="23"/>
        <v>0</v>
      </c>
      <c r="O38" s="11"/>
      <c r="P38" s="6">
        <v>112.46</v>
      </c>
      <c r="Q38" s="2"/>
      <c r="R38" s="7">
        <f t="shared" si="24"/>
        <v>3.9001619576413139E-4</v>
      </c>
      <c r="S38" s="2"/>
      <c r="T38" s="6"/>
      <c r="U38" s="2"/>
      <c r="V38" s="7">
        <f t="shared" si="25"/>
        <v>0</v>
      </c>
      <c r="W38" s="2"/>
      <c r="X38" s="6">
        <f t="shared" si="26"/>
        <v>112.46</v>
      </c>
      <c r="Y38" s="2"/>
      <c r="Z38" s="7">
        <f t="shared" si="27"/>
        <v>0</v>
      </c>
    </row>
    <row r="39" spans="1:26" s="28" customFormat="1" outlineLevel="1" collapsed="1" x14ac:dyDescent="0.25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330.9</v>
      </c>
      <c r="E39" s="1"/>
      <c r="F39" s="5">
        <f t="shared" si="20"/>
        <v>9.4335319440088938E-3</v>
      </c>
      <c r="G39" s="1"/>
      <c r="H39" s="1">
        <f>SUM(OSRRefH22_3x_0)</f>
        <v>55.04</v>
      </c>
      <c r="I39" s="1"/>
      <c r="J39" s="5">
        <f t="shared" si="21"/>
        <v>3.631493174455507E-4</v>
      </c>
      <c r="K39" s="1"/>
      <c r="L39" s="1">
        <f t="shared" si="22"/>
        <v>275.85999999999996</v>
      </c>
      <c r="M39" s="1"/>
      <c r="N39" s="5">
        <f t="shared" si="23"/>
        <v>5.0119912790697665</v>
      </c>
      <c r="O39" s="14"/>
      <c r="P39" s="1">
        <f>SUM(OSRRefP22_3x_0)</f>
        <v>1303.1099999999999</v>
      </c>
      <c r="Q39" s="1"/>
      <c r="R39" s="5">
        <f t="shared" si="24"/>
        <v>4.5192424405317202E-3</v>
      </c>
      <c r="S39" s="1"/>
      <c r="T39" s="1">
        <f>SUM(OSRRefT22_3x_0)</f>
        <v>519.47</v>
      </c>
      <c r="U39" s="1"/>
      <c r="V39" s="5">
        <f t="shared" si="25"/>
        <v>1.9267817733350644E-3</v>
      </c>
      <c r="W39" s="1"/>
      <c r="X39" s="1">
        <f t="shared" si="26"/>
        <v>783.63999999999987</v>
      </c>
      <c r="Y39" s="1"/>
      <c r="Z39" s="5">
        <f t="shared" si="27"/>
        <v>1.5085375478853444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6">
        <v>330.9</v>
      </c>
      <c r="E40" s="2"/>
      <c r="F40" s="7">
        <f t="shared" si="20"/>
        <v>9.4335319440088938E-3</v>
      </c>
      <c r="G40" s="2"/>
      <c r="H40" s="6">
        <v>55.04</v>
      </c>
      <c r="I40" s="2"/>
      <c r="J40" s="7">
        <f t="shared" si="21"/>
        <v>3.631493174455507E-4</v>
      </c>
      <c r="K40" s="2"/>
      <c r="L40" s="6">
        <f t="shared" si="22"/>
        <v>275.85999999999996</v>
      </c>
      <c r="M40" s="2"/>
      <c r="N40" s="7">
        <f t="shared" si="23"/>
        <v>5.0119912790697665</v>
      </c>
      <c r="O40" s="11"/>
      <c r="P40" s="6">
        <v>1303.1099999999999</v>
      </c>
      <c r="Q40" s="2"/>
      <c r="R40" s="7">
        <f t="shared" si="24"/>
        <v>4.5192424405317202E-3</v>
      </c>
      <c r="S40" s="2"/>
      <c r="T40" s="6">
        <v>519.47</v>
      </c>
      <c r="U40" s="2"/>
      <c r="V40" s="7">
        <f t="shared" si="25"/>
        <v>1.9267817733350644E-3</v>
      </c>
      <c r="W40" s="2"/>
      <c r="X40" s="6">
        <f t="shared" si="26"/>
        <v>783.63999999999987</v>
      </c>
      <c r="Y40" s="2"/>
      <c r="Z40" s="7">
        <f t="shared" si="27"/>
        <v>1.5085375478853444</v>
      </c>
    </row>
    <row r="41" spans="1:26" s="28" customFormat="1" outlineLevel="1" collapsed="1" x14ac:dyDescent="0.25">
      <c r="A41" s="27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0.31</v>
      </c>
      <c r="E41" s="1"/>
      <c r="F41" s="5">
        <f t="shared" si="20"/>
        <v>8.8376999173247428E-6</v>
      </c>
      <c r="G41" s="1"/>
      <c r="H41" s="1">
        <f>SUM(OSRRefH22_4x_0)</f>
        <v>1.33</v>
      </c>
      <c r="I41" s="1"/>
      <c r="J41" s="5">
        <f t="shared" si="21"/>
        <v>8.7752287827504075E-6</v>
      </c>
      <c r="K41" s="1"/>
      <c r="L41" s="1">
        <f t="shared" si="22"/>
        <v>-1.02</v>
      </c>
      <c r="M41" s="1"/>
      <c r="N41" s="5">
        <f t="shared" si="23"/>
        <v>-0.76691729323308266</v>
      </c>
      <c r="O41" s="14"/>
      <c r="P41" s="1">
        <f>SUM(OSRRefP22_4x_0)</f>
        <v>0.62</v>
      </c>
      <c r="Q41" s="1"/>
      <c r="R41" s="5">
        <f t="shared" si="24"/>
        <v>2.1501871009582204E-6</v>
      </c>
      <c r="S41" s="1"/>
      <c r="T41" s="1">
        <f>SUM(OSRRefT22_4x_0)</f>
        <v>2.12</v>
      </c>
      <c r="U41" s="1"/>
      <c r="V41" s="5">
        <f t="shared" si="25"/>
        <v>7.8633556499323092E-6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25">
      <c r="A42" s="29"/>
      <c r="B42" s="11" t="str">
        <f>CONCATENATE("          ", "6305", " - ", "FREIGHT OUT")</f>
        <v xml:space="preserve">          6305 - FREIGHT OUT</v>
      </c>
      <c r="C42" s="11"/>
      <c r="D42" s="6">
        <v>0.31</v>
      </c>
      <c r="E42" s="2"/>
      <c r="F42" s="7">
        <f t="shared" si="20"/>
        <v>8.8376999173247428E-6</v>
      </c>
      <c r="G42" s="2"/>
      <c r="H42" s="6">
        <v>1.33</v>
      </c>
      <c r="I42" s="2"/>
      <c r="J42" s="7">
        <f t="shared" si="21"/>
        <v>8.7752287827504075E-6</v>
      </c>
      <c r="K42" s="2"/>
      <c r="L42" s="6">
        <f t="shared" si="22"/>
        <v>-1.02</v>
      </c>
      <c r="M42" s="2"/>
      <c r="N42" s="7">
        <f t="shared" si="23"/>
        <v>-0.76691729323308266</v>
      </c>
      <c r="O42" s="11"/>
      <c r="P42" s="6">
        <v>0.62</v>
      </c>
      <c r="Q42" s="2"/>
      <c r="R42" s="7">
        <f t="shared" si="24"/>
        <v>2.1501871009582204E-6</v>
      </c>
      <c r="S42" s="2"/>
      <c r="T42" s="6">
        <v>1.62</v>
      </c>
      <c r="U42" s="2"/>
      <c r="V42" s="7">
        <f t="shared" si="25"/>
        <v>6.0087906381558211E-6</v>
      </c>
      <c r="W42" s="2"/>
      <c r="X42" s="6">
        <f t="shared" si="26"/>
        <v>-1</v>
      </c>
      <c r="Y42" s="2"/>
      <c r="Z42" s="7">
        <f t="shared" si="27"/>
        <v>-0.61728395061728392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0.5</v>
      </c>
      <c r="U43" s="2"/>
      <c r="V43" s="7">
        <f t="shared" si="25"/>
        <v>1.8545650117764878E-6</v>
      </c>
      <c r="W43" s="2"/>
      <c r="X43" s="6">
        <f t="shared" si="26"/>
        <v>-0.5</v>
      </c>
      <c r="Y43" s="2"/>
      <c r="Z43" s="7">
        <f t="shared" si="27"/>
        <v>-1</v>
      </c>
    </row>
    <row r="44" spans="1:26" s="28" customFormat="1" outlineLevel="1" collapsed="1" x14ac:dyDescent="0.25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0" si="28">IF(D$12=0,0,D44/D$12)</f>
        <v>1.1240984120648857E-3</v>
      </c>
      <c r="G44" s="1"/>
      <c r="H44" s="1">
        <f>SUM(OSRRefH22_5x_0)</f>
        <v>29.01</v>
      </c>
      <c r="I44" s="1"/>
      <c r="J44" s="5">
        <f t="shared" ref="J44:J50" si="29">IF(H$12=0,0,H44/H$12)</f>
        <v>1.9140555412600703E-4</v>
      </c>
      <c r="K44" s="1"/>
      <c r="L44" s="1">
        <f t="shared" ref="L44:L50" si="30">+D44-H44</f>
        <v>10.419999999999998</v>
      </c>
      <c r="M44" s="1"/>
      <c r="N44" s="5">
        <f t="shared" ref="N44:N50" si="31">IF(H44=0,0,L44/H44)</f>
        <v>0.35918648741813158</v>
      </c>
      <c r="O44" s="14"/>
      <c r="P44" s="1">
        <f>SUM(OSRRefP22_5x_0)</f>
        <v>157.72</v>
      </c>
      <c r="Q44" s="1"/>
      <c r="R44" s="5">
        <f t="shared" ref="R44:R50" si="32">IF(P$12=0,0,P44/P$12)</f>
        <v>5.4697985413408145E-4</v>
      </c>
      <c r="S44" s="1"/>
      <c r="T44" s="1">
        <f>SUM(OSRRefT22_5x_0)</f>
        <v>116.04</v>
      </c>
      <c r="U44" s="1"/>
      <c r="V44" s="5">
        <f t="shared" ref="V44:V50" si="33">IF(T$12=0,0,T44/T$12)</f>
        <v>4.3040744793308732E-4</v>
      </c>
      <c r="W44" s="1"/>
      <c r="X44" s="1">
        <f t="shared" ref="X44:X50" si="34">+P44-T44</f>
        <v>41.679999999999993</v>
      </c>
      <c r="Y44" s="1"/>
      <c r="Z44" s="5">
        <f t="shared" ref="Z44:Z50" si="35">IF(T44=0,0,X44/T44)</f>
        <v>0.35918648741813158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6">
        <v>39.43</v>
      </c>
      <c r="E45" s="2"/>
      <c r="F45" s="7">
        <f t="shared" si="28"/>
        <v>1.1240984120648857E-3</v>
      </c>
      <c r="G45" s="2"/>
      <c r="H45" s="6">
        <v>29.01</v>
      </c>
      <c r="I45" s="2"/>
      <c r="J45" s="7">
        <f t="shared" si="29"/>
        <v>1.9140555412600703E-4</v>
      </c>
      <c r="K45" s="2"/>
      <c r="L45" s="6">
        <f t="shared" si="30"/>
        <v>10.419999999999998</v>
      </c>
      <c r="M45" s="2"/>
      <c r="N45" s="7">
        <f t="shared" si="31"/>
        <v>0.35918648741813158</v>
      </c>
      <c r="O45" s="11"/>
      <c r="P45" s="6">
        <v>157.72</v>
      </c>
      <c r="Q45" s="2"/>
      <c r="R45" s="7">
        <f t="shared" si="32"/>
        <v>5.4697985413408145E-4</v>
      </c>
      <c r="S45" s="2"/>
      <c r="T45" s="6">
        <v>116.04</v>
      </c>
      <c r="U45" s="2"/>
      <c r="V45" s="7">
        <f t="shared" si="33"/>
        <v>4.3040744793308732E-4</v>
      </c>
      <c r="W45" s="2"/>
      <c r="X45" s="6">
        <f t="shared" si="34"/>
        <v>41.679999999999993</v>
      </c>
      <c r="Y45" s="2"/>
      <c r="Z45" s="7">
        <f t="shared" si="35"/>
        <v>0.35918648741813158</v>
      </c>
    </row>
    <row r="46" spans="1:26" s="28" customFormat="1" outlineLevel="1" collapsed="1" x14ac:dyDescent="0.25">
      <c r="A46" s="27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2.2806967528579983E-2</v>
      </c>
      <c r="G46" s="1"/>
      <c r="H46" s="1">
        <f>SUM(OSRRefH22_6x_0)</f>
        <v>800</v>
      </c>
      <c r="I46" s="1"/>
      <c r="J46" s="5">
        <f t="shared" si="29"/>
        <v>5.2783331024062602E-3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3200</v>
      </c>
      <c r="Q46" s="1"/>
      <c r="R46" s="5">
        <f t="shared" si="32"/>
        <v>1.1097739875913396E-2</v>
      </c>
      <c r="S46" s="1"/>
      <c r="T46" s="1">
        <f>SUM(OSRRefT22_6x_0)</f>
        <v>3200</v>
      </c>
      <c r="U46" s="1"/>
      <c r="V46" s="5">
        <f t="shared" si="33"/>
        <v>1.1869216075369522E-2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25">
      <c r="A47" s="29"/>
      <c r="B47" s="11" t="str">
        <f>CONCATENATE("          ", "6273", " - ", "RENT")</f>
        <v xml:space="preserve">          6273 - RENT</v>
      </c>
      <c r="C47" s="11"/>
      <c r="D47" s="6">
        <v>800</v>
      </c>
      <c r="E47" s="2"/>
      <c r="F47" s="7">
        <f t="shared" si="28"/>
        <v>2.2806967528579983E-2</v>
      </c>
      <c r="G47" s="2"/>
      <c r="H47" s="6">
        <v>800</v>
      </c>
      <c r="I47" s="2"/>
      <c r="J47" s="7">
        <f t="shared" si="29"/>
        <v>5.2783331024062602E-3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3200</v>
      </c>
      <c r="Q47" s="2"/>
      <c r="R47" s="7">
        <f t="shared" si="32"/>
        <v>1.1097739875913396E-2</v>
      </c>
      <c r="S47" s="2"/>
      <c r="T47" s="6">
        <v>3200</v>
      </c>
      <c r="U47" s="2"/>
      <c r="V47" s="7">
        <f t="shared" si="33"/>
        <v>1.1869216075369522E-2</v>
      </c>
      <c r="W47" s="2"/>
      <c r="X47" s="6">
        <f t="shared" si="34"/>
        <v>0</v>
      </c>
      <c r="Y47" s="2"/>
      <c r="Z47" s="7">
        <f t="shared" si="35"/>
        <v>0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117265.9</v>
      </c>
      <c r="I48" s="1"/>
      <c r="J48" s="5">
        <f t="shared" si="29"/>
        <v>0.77371060219182775</v>
      </c>
      <c r="K48" s="1"/>
      <c r="L48" s="1">
        <f t="shared" si="30"/>
        <v>-117265.9</v>
      </c>
      <c r="M48" s="1"/>
      <c r="N48" s="5">
        <f t="shared" si="31"/>
        <v>-1</v>
      </c>
      <c r="O48" s="14"/>
      <c r="P48" s="1">
        <f>SUM(OSRRefP22_7x_0)</f>
        <v>122000.62</v>
      </c>
      <c r="Q48" s="1"/>
      <c r="R48" s="5">
        <f t="shared" si="32"/>
        <v>0.42310348295629918</v>
      </c>
      <c r="S48" s="1"/>
      <c r="T48" s="1">
        <f>SUM(OSRRefT22_7x_0)</f>
        <v>123827.9</v>
      </c>
      <c r="U48" s="1"/>
      <c r="V48" s="5">
        <f t="shared" si="33"/>
        <v>0.45929378164351548</v>
      </c>
      <c r="W48" s="1"/>
      <c r="X48" s="1">
        <f t="shared" si="34"/>
        <v>-1827.2799999999988</v>
      </c>
      <c r="Y48" s="1"/>
      <c r="Z48" s="5">
        <f t="shared" si="35"/>
        <v>-1.4756609778571702E-2</v>
      </c>
    </row>
    <row r="49" spans="1:26" s="24" customFormat="1" hidden="1" outlineLevel="2" x14ac:dyDescent="0.25">
      <c r="A49" s="29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>
        <v>117265.9</v>
      </c>
      <c r="I49" s="2"/>
      <c r="J49" s="7">
        <f t="shared" si="29"/>
        <v>0.77371060219182775</v>
      </c>
      <c r="K49" s="2"/>
      <c r="L49" s="6">
        <f t="shared" si="30"/>
        <v>-117265.9</v>
      </c>
      <c r="M49" s="2"/>
      <c r="N49" s="7">
        <f t="shared" si="31"/>
        <v>-1</v>
      </c>
      <c r="O49" s="11"/>
      <c r="P49" s="6">
        <v>122000.62</v>
      </c>
      <c r="Q49" s="2"/>
      <c r="R49" s="7">
        <f t="shared" si="32"/>
        <v>0.42310348295629918</v>
      </c>
      <c r="S49" s="2"/>
      <c r="T49" s="6">
        <v>117265.9</v>
      </c>
      <c r="U49" s="2"/>
      <c r="V49" s="7">
        <f t="shared" si="33"/>
        <v>0.43495447042896085</v>
      </c>
      <c r="W49" s="2"/>
      <c r="X49" s="6">
        <f t="shared" si="34"/>
        <v>4734.7200000000012</v>
      </c>
      <c r="Y49" s="2"/>
      <c r="Z49" s="7">
        <f t="shared" si="35"/>
        <v>4.0375931963170894E-2</v>
      </c>
    </row>
    <row r="50" spans="1:26" s="24" customFormat="1" hidden="1" outlineLevel="2" x14ac:dyDescent="0.25">
      <c r="A50" s="29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6562</v>
      </c>
      <c r="U50" s="2"/>
      <c r="V50" s="7">
        <f t="shared" si="33"/>
        <v>2.4339311214554626E-2</v>
      </c>
      <c r="W50" s="2"/>
      <c r="X50" s="6">
        <f t="shared" si="34"/>
        <v>-6562</v>
      </c>
      <c r="Y50" s="2"/>
      <c r="Z50" s="7">
        <f t="shared" si="35"/>
        <v>-1</v>
      </c>
    </row>
    <row r="51" spans="1:26" s="28" customFormat="1" outlineLevel="1" collapsed="1" x14ac:dyDescent="0.25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13312.42</v>
      </c>
      <c r="E51" s="1"/>
      <c r="F51" s="5">
        <f t="shared" ref="F51:F53" si="36">IF(D$12=0,0,D51/D$12)</f>
        <v>0.37951991333352342</v>
      </c>
      <c r="G51" s="1"/>
      <c r="H51" s="1">
        <f>SUM(OSRRefH22_8x_0)</f>
        <v>6088.55</v>
      </c>
      <c r="I51" s="1"/>
      <c r="J51" s="5">
        <f t="shared" ref="J51:J53" si="37">IF(H$12=0,0,H51/H$12)</f>
        <v>4.0171743763319542E-2</v>
      </c>
      <c r="K51" s="1"/>
      <c r="L51" s="1">
        <f t="shared" ref="L51:L53" si="38">+D51-H51</f>
        <v>7223.87</v>
      </c>
      <c r="M51" s="1"/>
      <c r="N51" s="5">
        <f t="shared" ref="N51:N53" si="39">IF(H51=0,0,L51/H51)</f>
        <v>1.1864680424731668</v>
      </c>
      <c r="O51" s="14"/>
      <c r="P51" s="1">
        <f>SUM(OSRRefP22_8x_0)</f>
        <v>15289.080000000002</v>
      </c>
      <c r="Q51" s="1"/>
      <c r="R51" s="5">
        <f t="shared" ref="R51:R53" si="40">IF(P$12=0,0,P51/P$12)</f>
        <v>5.3023197744384375E-2</v>
      </c>
      <c r="S51" s="1"/>
      <c r="T51" s="1">
        <f>SUM(OSRRefT22_8x_0)</f>
        <v>41271.699999999997</v>
      </c>
      <c r="U51" s="1"/>
      <c r="V51" s="5">
        <f t="shared" ref="V51:V53" si="41">IF(T$12=0,0,T51/T$12)</f>
        <v>0.15308210159307134</v>
      </c>
      <c r="W51" s="1"/>
      <c r="X51" s="1">
        <f t="shared" ref="X51:X53" si="42">+P51-T51</f>
        <v>-25982.619999999995</v>
      </c>
      <c r="Y51" s="1"/>
      <c r="Z51" s="5">
        <f t="shared" ref="Z51:Z53" si="43">IF(T51=0,0,X51/T51)</f>
        <v>-0.62955051524410177</v>
      </c>
    </row>
    <row r="52" spans="1:26" s="24" customFormat="1" hidden="1" outlineLevel="2" x14ac:dyDescent="0.25">
      <c r="A52" s="29"/>
      <c r="B52" s="11" t="str">
        <f>CONCATENATE("          ", "6241", " - ", "OFFICE EXPENSE")</f>
        <v xml:space="preserve">          6241 - OFFICE EXPENSE</v>
      </c>
      <c r="C52" s="11"/>
      <c r="D52" s="6">
        <v>13295.88</v>
      </c>
      <c r="E52" s="2"/>
      <c r="F52" s="7">
        <f t="shared" si="36"/>
        <v>0.37904837927986995</v>
      </c>
      <c r="G52" s="2"/>
      <c r="H52" s="6">
        <v>6088.55</v>
      </c>
      <c r="I52" s="2"/>
      <c r="J52" s="7">
        <f t="shared" si="37"/>
        <v>4.0171743763319542E-2</v>
      </c>
      <c r="K52" s="2"/>
      <c r="L52" s="6">
        <f t="shared" si="38"/>
        <v>7207.329999999999</v>
      </c>
      <c r="M52" s="2"/>
      <c r="N52" s="7">
        <f t="shared" si="39"/>
        <v>1.1837514679192909</v>
      </c>
      <c r="O52" s="11"/>
      <c r="P52" s="6">
        <v>15272.54</v>
      </c>
      <c r="Q52" s="2"/>
      <c r="R52" s="7">
        <f t="shared" si="40"/>
        <v>5.2965836301400747E-2</v>
      </c>
      <c r="S52" s="2"/>
      <c r="T52" s="6">
        <v>41271.699999999997</v>
      </c>
      <c r="U52" s="2"/>
      <c r="V52" s="7">
        <f t="shared" si="41"/>
        <v>0.15308210159307134</v>
      </c>
      <c r="W52" s="2"/>
      <c r="X52" s="6">
        <f t="shared" si="42"/>
        <v>-25999.159999999996</v>
      </c>
      <c r="Y52" s="2"/>
      <c r="Z52" s="7">
        <f t="shared" si="43"/>
        <v>-0.62995127411761564</v>
      </c>
    </row>
    <row r="53" spans="1:26" s="24" customFormat="1" hidden="1" outlineLevel="2" x14ac:dyDescent="0.25">
      <c r="A53" s="29"/>
      <c r="B53" s="11" t="str">
        <f>CONCATENATE("          ", "6247", " - ", "STORE SUPPLIES")</f>
        <v xml:space="preserve">          6247 - STORE SUPPLIES</v>
      </c>
      <c r="C53" s="11"/>
      <c r="D53" s="6">
        <v>16.54</v>
      </c>
      <c r="E53" s="2"/>
      <c r="F53" s="7">
        <f t="shared" si="36"/>
        <v>4.715340536533911E-4</v>
      </c>
      <c r="G53" s="2"/>
      <c r="H53" s="6"/>
      <c r="I53" s="2"/>
      <c r="J53" s="7">
        <f t="shared" si="37"/>
        <v>0</v>
      </c>
      <c r="K53" s="2"/>
      <c r="L53" s="6">
        <f t="shared" si="38"/>
        <v>16.54</v>
      </c>
      <c r="M53" s="2"/>
      <c r="N53" s="7">
        <f t="shared" si="39"/>
        <v>0</v>
      </c>
      <c r="O53" s="11"/>
      <c r="P53" s="6">
        <v>16.54</v>
      </c>
      <c r="Q53" s="2"/>
      <c r="R53" s="7">
        <f t="shared" si="40"/>
        <v>5.7361442983627362E-5</v>
      </c>
      <c r="S53" s="2"/>
      <c r="T53" s="6"/>
      <c r="U53" s="2"/>
      <c r="V53" s="7">
        <f t="shared" si="41"/>
        <v>0</v>
      </c>
      <c r="W53" s="2"/>
      <c r="X53" s="6">
        <f t="shared" si="42"/>
        <v>16.54</v>
      </c>
      <c r="Y53" s="2"/>
      <c r="Z53" s="7">
        <f t="shared" si="43"/>
        <v>0</v>
      </c>
    </row>
    <row r="54" spans="1:26" s="28" customFormat="1" outlineLevel="1" collapsed="1" x14ac:dyDescent="0.25">
      <c r="A54" s="27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87.3</v>
      </c>
      <c r="E54" s="1"/>
      <c r="F54" s="5">
        <f t="shared" ref="F54:F57" si="44">IF(D$12=0,0,D54/D$12)</f>
        <v>2.4888103315562904E-3</v>
      </c>
      <c r="G54" s="1"/>
      <c r="H54" s="1">
        <f>SUM(OSRRefH22_9x_0)</f>
        <v>136.65</v>
      </c>
      <c r="I54" s="1"/>
      <c r="J54" s="5">
        <f t="shared" ref="J54:J57" si="45">IF(H$12=0,0,H54/H$12)</f>
        <v>9.0160527305476932E-4</v>
      </c>
      <c r="K54" s="1"/>
      <c r="L54" s="1">
        <f t="shared" ref="L54:L57" si="46">+D54-H54</f>
        <v>-49.350000000000009</v>
      </c>
      <c r="M54" s="1"/>
      <c r="N54" s="5">
        <f t="shared" ref="N54:N57" si="47">IF(H54=0,0,L54/H54)</f>
        <v>-0.36114160263446765</v>
      </c>
      <c r="O54" s="14"/>
      <c r="P54" s="1">
        <f>SUM(OSRRefP22_9x_0)</f>
        <v>-76</v>
      </c>
      <c r="Q54" s="1"/>
      <c r="R54" s="5">
        <f t="shared" ref="R54:R57" si="48">IF(P$12=0,0,P54/P$12)</f>
        <v>-2.6357132205294317E-4</v>
      </c>
      <c r="S54" s="1"/>
      <c r="T54" s="1">
        <f>SUM(OSRRefT22_9x_0)</f>
        <v>1178.73</v>
      </c>
      <c r="U54" s="1"/>
      <c r="V54" s="5">
        <f t="shared" ref="V54:V57" si="49">IF(T$12=0,0,T54/T$12)</f>
        <v>4.3720628326625989E-3</v>
      </c>
      <c r="W54" s="1"/>
      <c r="X54" s="1">
        <f t="shared" ref="X54:X57" si="50">+P54-T54</f>
        <v>-1254.73</v>
      </c>
      <c r="Y54" s="1"/>
      <c r="Z54" s="5">
        <f t="shared" ref="Z54:Z57" si="51">IF(T54=0,0,X54/T54)</f>
        <v>-1.0644761735087764</v>
      </c>
    </row>
    <row r="55" spans="1:26" s="24" customFormat="1" hidden="1" outlineLevel="2" x14ac:dyDescent="0.25">
      <c r="A55" s="29"/>
      <c r="B55" s="11" t="str">
        <f>CONCATENATE("          ", "6309", " - ", "TELEPHONE")</f>
        <v xml:space="preserve">          6309 - TELEPHONE</v>
      </c>
      <c r="C55" s="11"/>
      <c r="D55" s="6">
        <v>87.3</v>
      </c>
      <c r="E55" s="2"/>
      <c r="F55" s="7">
        <f t="shared" si="44"/>
        <v>2.4888103315562904E-3</v>
      </c>
      <c r="G55" s="2"/>
      <c r="H55" s="6">
        <v>136.65</v>
      </c>
      <c r="I55" s="2"/>
      <c r="J55" s="7">
        <f t="shared" si="45"/>
        <v>9.0160527305476932E-4</v>
      </c>
      <c r="K55" s="2"/>
      <c r="L55" s="6">
        <f t="shared" si="46"/>
        <v>-49.350000000000009</v>
      </c>
      <c r="M55" s="2"/>
      <c r="N55" s="7">
        <f t="shared" si="47"/>
        <v>-0.36114160263446765</v>
      </c>
      <c r="O55" s="11"/>
      <c r="P55" s="6">
        <v>-76</v>
      </c>
      <c r="Q55" s="2"/>
      <c r="R55" s="7">
        <f t="shared" si="48"/>
        <v>-2.6357132205294317E-4</v>
      </c>
      <c r="S55" s="2"/>
      <c r="T55" s="6">
        <v>1178.73</v>
      </c>
      <c r="U55" s="2"/>
      <c r="V55" s="7">
        <f t="shared" si="49"/>
        <v>4.3720628326625989E-3</v>
      </c>
      <c r="W55" s="2"/>
      <c r="X55" s="6">
        <f t="shared" si="50"/>
        <v>-1254.73</v>
      </c>
      <c r="Y55" s="2"/>
      <c r="Z55" s="7">
        <f t="shared" si="51"/>
        <v>-1.0644761735087764</v>
      </c>
    </row>
    <row r="56" spans="1:26" s="28" customFormat="1" outlineLevel="1" collapsed="1" x14ac:dyDescent="0.25">
      <c r="A56" s="27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2000</v>
      </c>
      <c r="E56" s="1"/>
      <c r="F56" s="5">
        <f t="shared" si="44"/>
        <v>5.701741882144995E-2</v>
      </c>
      <c r="G56" s="1"/>
      <c r="H56" s="1">
        <f>SUM(OSRRefH22_10x_0)</f>
        <v>0</v>
      </c>
      <c r="I56" s="1"/>
      <c r="J56" s="5">
        <f t="shared" si="45"/>
        <v>0</v>
      </c>
      <c r="K56" s="1"/>
      <c r="L56" s="1">
        <f t="shared" si="46"/>
        <v>2000</v>
      </c>
      <c r="M56" s="1"/>
      <c r="N56" s="5">
        <f t="shared" si="47"/>
        <v>0</v>
      </c>
      <c r="O56" s="14"/>
      <c r="P56" s="1">
        <f>SUM(OSRRefP22_10x_0)</f>
        <v>2000</v>
      </c>
      <c r="Q56" s="1"/>
      <c r="R56" s="5">
        <f t="shared" si="48"/>
        <v>6.9360874224458722E-3</v>
      </c>
      <c r="S56" s="1"/>
      <c r="T56" s="1">
        <f>SUM(OSRRefT22_10x_0)</f>
        <v>0</v>
      </c>
      <c r="U56" s="1"/>
      <c r="V56" s="5">
        <f t="shared" si="49"/>
        <v>0</v>
      </c>
      <c r="W56" s="1"/>
      <c r="X56" s="1">
        <f t="shared" si="50"/>
        <v>2000</v>
      </c>
      <c r="Y56" s="1"/>
      <c r="Z56" s="5">
        <f t="shared" si="51"/>
        <v>0</v>
      </c>
    </row>
    <row r="57" spans="1:26" s="24" customFormat="1" hidden="1" outlineLevel="2" x14ac:dyDescent="0.25">
      <c r="A57" s="29"/>
      <c r="B57" s="11" t="str">
        <f>CONCATENATE("          ", "6376", " - ", "TRAINING")</f>
        <v xml:space="preserve">          6376 - TRAINING</v>
      </c>
      <c r="C57" s="11"/>
      <c r="D57" s="6">
        <v>2000</v>
      </c>
      <c r="E57" s="2"/>
      <c r="F57" s="7">
        <f t="shared" si="44"/>
        <v>5.701741882144995E-2</v>
      </c>
      <c r="G57" s="2"/>
      <c r="H57" s="6"/>
      <c r="I57" s="2"/>
      <c r="J57" s="7">
        <f t="shared" si="45"/>
        <v>0</v>
      </c>
      <c r="K57" s="2"/>
      <c r="L57" s="6">
        <f t="shared" si="46"/>
        <v>2000</v>
      </c>
      <c r="M57" s="2"/>
      <c r="N57" s="7">
        <f t="shared" si="47"/>
        <v>0</v>
      </c>
      <c r="O57" s="11"/>
      <c r="P57" s="6">
        <v>2000</v>
      </c>
      <c r="Q57" s="2"/>
      <c r="R57" s="7">
        <f t="shared" si="48"/>
        <v>6.9360874224458722E-3</v>
      </c>
      <c r="S57" s="2"/>
      <c r="T57" s="6"/>
      <c r="U57" s="2"/>
      <c r="V57" s="7">
        <f t="shared" si="49"/>
        <v>0</v>
      </c>
      <c r="W57" s="2"/>
      <c r="X57" s="6">
        <f t="shared" si="50"/>
        <v>2000</v>
      </c>
      <c r="Y57" s="2"/>
      <c r="Z57" s="7">
        <f t="shared" si="51"/>
        <v>0</v>
      </c>
    </row>
    <row r="58" spans="1:26" s="56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5" t="s">
        <v>292</v>
      </c>
      <c r="C59" s="10"/>
      <c r="D59" s="4">
        <f>SUM(OSRRefD25x_0)</f>
        <v>1668.3</v>
      </c>
      <c r="E59" s="4"/>
      <c r="F59" s="12">
        <f t="shared" ref="F59:F60" si="52">IF(D$12=0,0,D59/D$12)</f>
        <v>4.7561079909912478E-2</v>
      </c>
      <c r="G59" s="4"/>
      <c r="H59" s="4">
        <f>SUM(OSRRefH25x_0)</f>
        <v>225.16</v>
      </c>
      <c r="I59" s="4"/>
      <c r="J59" s="12">
        <f t="shared" ref="J59:J60" si="53">IF(H$12=0,0,H59/H$12)</f>
        <v>1.485586851672242E-3</v>
      </c>
      <c r="K59" s="4"/>
      <c r="L59" s="4">
        <f t="shared" ref="L59:L60" si="54">+D59-H59</f>
        <v>1443.1399999999999</v>
      </c>
      <c r="M59" s="4"/>
      <c r="N59" s="12">
        <f t="shared" ref="N59:N60" si="55">IF(H59=0,0,L59/H59)</f>
        <v>6.4093977615917561</v>
      </c>
      <c r="O59" s="10"/>
      <c r="P59" s="4">
        <f>SUM(OSRRefP25x_0)</f>
        <v>4396.87</v>
      </c>
      <c r="Q59" s="4"/>
      <c r="R59" s="12">
        <f t="shared" ref="R59:R60" si="56">IF(P$12=0,0,P59/P$12)</f>
        <v>1.5248537352564791E-2</v>
      </c>
      <c r="S59" s="4"/>
      <c r="T59" s="4">
        <f>SUM(OSRRefT25x_0)</f>
        <v>975.16</v>
      </c>
      <c r="U59" s="4"/>
      <c r="V59" s="12">
        <f t="shared" ref="V59:V60" si="57">IF(T$12=0,0,T59/T$12)</f>
        <v>3.6169952337679195E-3</v>
      </c>
      <c r="W59" s="4"/>
      <c r="X59" s="4">
        <f t="shared" ref="X59:X60" si="58">+P59-T59</f>
        <v>3421.71</v>
      </c>
      <c r="Y59" s="4"/>
      <c r="Z59" s="12">
        <f t="shared" ref="Z59:Z60" si="59">IF(T59=0,0,X59/T59)</f>
        <v>3.5088703392263834</v>
      </c>
    </row>
    <row r="60" spans="1:26" s="24" customFormat="1" hidden="1" outlineLevel="1" x14ac:dyDescent="0.25">
      <c r="A60" s="44"/>
      <c r="B60" s="11" t="str">
        <f>CONCATENATE("          ", "9150", " - ", "MISC. INCOME")</f>
        <v xml:space="preserve">          9150 - MISC. INCOME</v>
      </c>
      <c r="C60" s="11"/>
      <c r="D60" s="2">
        <f>--1668.3</f>
        <v>1668.3</v>
      </c>
      <c r="E60" s="2"/>
      <c r="F60" s="19">
        <f t="shared" si="52"/>
        <v>4.7561079909912478E-2</v>
      </c>
      <c r="G60" s="2"/>
      <c r="H60" s="2">
        <f>--225.16</f>
        <v>225.16</v>
      </c>
      <c r="I60" s="2"/>
      <c r="J60" s="19">
        <f t="shared" si="53"/>
        <v>1.485586851672242E-3</v>
      </c>
      <c r="K60" s="2"/>
      <c r="L60" s="2">
        <f t="shared" si="54"/>
        <v>1443.1399999999999</v>
      </c>
      <c r="M60" s="2"/>
      <c r="N60" s="19">
        <f t="shared" si="55"/>
        <v>6.4093977615917561</v>
      </c>
      <c r="O60" s="11"/>
      <c r="P60" s="2">
        <f>--4396.87</f>
        <v>4396.87</v>
      </c>
      <c r="Q60" s="2"/>
      <c r="R60" s="19">
        <f t="shared" si="56"/>
        <v>1.5248537352564791E-2</v>
      </c>
      <c r="S60" s="2"/>
      <c r="T60" s="2">
        <f>--975.16</f>
        <v>975.16</v>
      </c>
      <c r="U60" s="2"/>
      <c r="V60" s="19">
        <f t="shared" si="57"/>
        <v>3.6169952337679195E-3</v>
      </c>
      <c r="W60" s="2"/>
      <c r="X60" s="2">
        <f t="shared" si="58"/>
        <v>3421.71</v>
      </c>
      <c r="Y60" s="2"/>
      <c r="Z60" s="19">
        <f t="shared" si="59"/>
        <v>3.5088703392263834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276</v>
      </c>
      <c r="C62" s="26"/>
      <c r="D62" s="22">
        <f>+D17-D19+D59</f>
        <v>-432.76000000000499</v>
      </c>
      <c r="E62" s="13"/>
      <c r="F62" s="20">
        <f>IF(D$12=0,0,D62/D$12)</f>
        <v>-1.2337429084585483E-2</v>
      </c>
      <c r="G62" s="13"/>
      <c r="H62" s="22">
        <f>+H17-H19+H59</f>
        <v>7039.1700000000383</v>
      </c>
      <c r="I62" s="13"/>
      <c r="J62" s="20">
        <f>IF(H$12=0,0,H62/H$12)</f>
        <v>4.6443855030581592E-2</v>
      </c>
      <c r="K62" s="15"/>
      <c r="L62" s="22">
        <f>+D62-H62</f>
        <v>-7471.930000000043</v>
      </c>
      <c r="M62" s="15"/>
      <c r="N62" s="20">
        <f>IF(H62=0,0,L62/H62)</f>
        <v>-1.0614788391244994</v>
      </c>
      <c r="O62" s="25"/>
      <c r="P62" s="22">
        <f>+P17-P19+P59</f>
        <v>66859.01999999996</v>
      </c>
      <c r="Q62" s="13"/>
      <c r="R62" s="20">
        <f>IF(P$12=0,0,P62/P$12)</f>
        <v>0.23187000384952838</v>
      </c>
      <c r="S62" s="13"/>
      <c r="T62" s="22">
        <f>+T17-T19+T59</f>
        <v>21868.179999999989</v>
      </c>
      <c r="U62" s="13"/>
      <c r="V62" s="20">
        <f>IF(T$12=0,0,T62/T$12)</f>
        <v>8.1111922998460678E-2</v>
      </c>
      <c r="W62" s="15"/>
      <c r="X62" s="22">
        <f>+P62-T62</f>
        <v>44990.839999999967</v>
      </c>
      <c r="Y62" s="15"/>
      <c r="Z62" s="20">
        <f>IF(T62=0,0,X62/T62)</f>
        <v>2.0573655420798618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127</v>
      </c>
      <c r="C64" s="10"/>
      <c r="D64" s="4">
        <v>1981.88</v>
      </c>
      <c r="E64" s="4"/>
      <c r="F64" s="12">
        <f>IF(D$12=0,0,D64/D$12)</f>
        <v>5.6500841006927621E-2</v>
      </c>
      <c r="G64" s="4"/>
      <c r="H64" s="4">
        <v>36534.379999999997</v>
      </c>
      <c r="I64" s="4"/>
      <c r="J64" s="12">
        <f>IF(H$12=0,0,H64/H$12)</f>
        <v>0.2410507841623615</v>
      </c>
      <c r="K64" s="4"/>
      <c r="L64" s="4">
        <f>+D64-H64</f>
        <v>-34552.5</v>
      </c>
      <c r="M64" s="4"/>
      <c r="N64" s="12">
        <f>IF(H64=0,0,L64/H64)</f>
        <v>-0.94575301401036505</v>
      </c>
      <c r="O64" s="10"/>
      <c r="P64" s="4">
        <v>33330.53</v>
      </c>
      <c r="Q64" s="4"/>
      <c r="R64" s="12">
        <f>IF(P$12=0,0,P64/P$12)</f>
        <v>0.11559173495822742</v>
      </c>
      <c r="S64" s="4"/>
      <c r="T64" s="4">
        <v>58402.25</v>
      </c>
      <c r="U64" s="4"/>
      <c r="V64" s="12">
        <f>IF(T$12=0,0,T64/T$12)</f>
        <v>0.21662153891804678</v>
      </c>
      <c r="W64" s="4"/>
      <c r="X64" s="4">
        <f>+P64-T64</f>
        <v>-25071.72</v>
      </c>
      <c r="Y64" s="4"/>
      <c r="Z64" s="12">
        <f>IF(T64=0,0,X64/T64)</f>
        <v>-0.42929373440235608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125</v>
      </c>
      <c r="C66" s="26"/>
      <c r="D66" s="33">
        <f>+D62-D64</f>
        <v>-2414.6400000000049</v>
      </c>
      <c r="E66" s="13"/>
      <c r="F66" s="31">
        <f>IF(D$12=0,0,D66/D$12)</f>
        <v>-6.8838270091513096E-2</v>
      </c>
      <c r="G66" s="13"/>
      <c r="H66" s="33">
        <f>+H62-H64</f>
        <v>-29495.209999999959</v>
      </c>
      <c r="I66" s="13"/>
      <c r="J66" s="31">
        <f>IF(H$12=0,0,H66/H$12)</f>
        <v>-0.1946069291317799</v>
      </c>
      <c r="K66" s="15"/>
      <c r="L66" s="33">
        <f>D66-H66</f>
        <v>27080.569999999956</v>
      </c>
      <c r="M66" s="15"/>
      <c r="N66" s="31">
        <f>IF(H66=0,0,L66/H66)</f>
        <v>-0.91813450387367956</v>
      </c>
      <c r="O66" s="25"/>
      <c r="P66" s="33">
        <f>+P62-P64</f>
        <v>33528.489999999962</v>
      </c>
      <c r="Q66" s="13"/>
      <c r="R66" s="31">
        <f>IF(P$12=0,0,P66/P$12)</f>
        <v>0.11627826889130097</v>
      </c>
      <c r="S66" s="13"/>
      <c r="T66" s="33">
        <f>+T62-T64</f>
        <v>-36534.070000000007</v>
      </c>
      <c r="U66" s="13"/>
      <c r="V66" s="31">
        <f>IF(T$12=0,0,T66/T$12)</f>
        <v>-0.13550961591958607</v>
      </c>
      <c r="W66" s="15"/>
      <c r="X66" s="33">
        <f>P66-T66</f>
        <v>70062.559999999969</v>
      </c>
      <c r="Y66" s="15"/>
      <c r="Z66" s="31">
        <f>IF(T66=0,0,X66/T66)</f>
        <v>-1.9177321333210331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293</v>
      </c>
      <c r="C69" s="26"/>
      <c r="D69" s="34">
        <f>SUM(D66:D68)</f>
        <v>-2414.6400000000049</v>
      </c>
      <c r="E69" s="13"/>
      <c r="F69" s="30">
        <f>IF(D$12=0,0,D69/D$12)</f>
        <v>-6.8838270091513096E-2</v>
      </c>
      <c r="G69" s="13"/>
      <c r="H69" s="34">
        <f>SUM(H66:H68)</f>
        <v>-29495.209999999959</v>
      </c>
      <c r="I69" s="13"/>
      <c r="J69" s="30">
        <f>IF(H$12=0,0,H69/H$12)</f>
        <v>-0.1946069291317799</v>
      </c>
      <c r="K69" s="15"/>
      <c r="L69" s="34">
        <f>+D69-H69</f>
        <v>27080.569999999956</v>
      </c>
      <c r="M69" s="15"/>
      <c r="N69" s="30">
        <f>IF(H69=0,0,L69/H69)</f>
        <v>-0.91813450387367956</v>
      </c>
      <c r="O69" s="25"/>
      <c r="P69" s="34">
        <f>SUM(P66:P68)</f>
        <v>33528.489999999962</v>
      </c>
      <c r="Q69" s="13"/>
      <c r="R69" s="30">
        <f>IF(P$12=0,0,P69/P$12)</f>
        <v>0.11627826889130097</v>
      </c>
      <c r="S69" s="13"/>
      <c r="T69" s="34">
        <f>SUM(T66:T68)</f>
        <v>-36534.070000000007</v>
      </c>
      <c r="U69" s="13"/>
      <c r="V69" s="30">
        <f>IF(T$12=0,0,T69/T$12)</f>
        <v>-0.13550961591958607</v>
      </c>
      <c r="W69" s="15"/>
      <c r="X69" s="34">
        <f>+P69-T69</f>
        <v>70062.559999999969</v>
      </c>
      <c r="Y69" s="15"/>
      <c r="Z69" s="30">
        <f>IF(T69=0,0,X69/T69)</f>
        <v>-1.9177321333210331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61">
        <v>44517.967015543982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7" t="s">
        <v>56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str">
        <f>CONCATENATE("Period ",RIGHT(202204,2),", ",2022)</f>
        <v>Period 04, 2022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44499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>
        <f>SUM(OSRRefD13x_0)</f>
        <v>35077</v>
      </c>
      <c r="E12" s="4"/>
      <c r="F12" s="12"/>
      <c r="G12" s="4"/>
      <c r="H12" s="4">
        <f>SUM(OSRRefH13x_0)</f>
        <v>151563</v>
      </c>
      <c r="I12" s="4"/>
      <c r="J12" s="12"/>
      <c r="K12" s="4"/>
      <c r="L12" s="4">
        <f t="shared" ref="L12:L13" si="0">+D12-H12</f>
        <v>-116486</v>
      </c>
      <c r="M12" s="4"/>
      <c r="N12" s="12">
        <f t="shared" ref="N12:N13" si="1">IF(H12=0,0,L12/H12)</f>
        <v>-0.76856488720861948</v>
      </c>
      <c r="O12" s="10"/>
      <c r="P12" s="4">
        <f>SUM(OSRRefP13x_0)</f>
        <v>288347</v>
      </c>
      <c r="Q12" s="4"/>
      <c r="R12" s="12"/>
      <c r="S12" s="4"/>
      <c r="T12" s="4">
        <f>SUM(OSRRefT13x_0)</f>
        <v>269605</v>
      </c>
      <c r="U12" s="4"/>
      <c r="V12" s="12"/>
      <c r="W12" s="4"/>
      <c r="X12" s="4">
        <f t="shared" ref="X12:X13" si="2">+P12-T12</f>
        <v>18742</v>
      </c>
      <c r="Y12" s="4"/>
      <c r="Z12" s="12">
        <f t="shared" ref="Z12:Z13" si="3">IF(T12=0,0,X12/T12)</f>
        <v>6.9516514901429863E-2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--35077</f>
        <v>35077</v>
      </c>
      <c r="E13" s="2"/>
      <c r="F13" s="19"/>
      <c r="G13" s="2"/>
      <c r="H13" s="2">
        <f>--151563</f>
        <v>151563</v>
      </c>
      <c r="I13" s="2"/>
      <c r="J13" s="19"/>
      <c r="K13" s="2"/>
      <c r="L13" s="2">
        <f t="shared" si="0"/>
        <v>-116486</v>
      </c>
      <c r="M13" s="2"/>
      <c r="N13" s="19">
        <f t="shared" si="1"/>
        <v>-0.76856488720861948</v>
      </c>
      <c r="O13" s="11"/>
      <c r="P13" s="2">
        <f>--288347</f>
        <v>288347</v>
      </c>
      <c r="Q13" s="2"/>
      <c r="R13" s="19"/>
      <c r="S13" s="2"/>
      <c r="T13" s="2">
        <f>--269605</f>
        <v>269605</v>
      </c>
      <c r="U13" s="2"/>
      <c r="V13" s="19"/>
      <c r="W13" s="2"/>
      <c r="X13" s="2">
        <f t="shared" si="2"/>
        <v>18742</v>
      </c>
      <c r="Y13" s="2"/>
      <c r="Z13" s="19">
        <f t="shared" si="3"/>
        <v>6.9516514901429863E-2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107</v>
      </c>
      <c r="C17" s="26"/>
      <c r="D17" s="22">
        <f>D12-D15</f>
        <v>35077</v>
      </c>
      <c r="E17" s="13"/>
      <c r="F17" s="20">
        <f>IF(D$12=0,0,D17/D$12)</f>
        <v>1</v>
      </c>
      <c r="G17" s="13"/>
      <c r="H17" s="22">
        <f>H12-H15</f>
        <v>151563</v>
      </c>
      <c r="I17" s="13"/>
      <c r="J17" s="20">
        <f>IF(H$12=0,0,H17/H$12)</f>
        <v>1</v>
      </c>
      <c r="K17" s="15"/>
      <c r="L17" s="22">
        <f>+D17-H17</f>
        <v>-116486</v>
      </c>
      <c r="M17" s="15"/>
      <c r="N17" s="20">
        <f>IF(H17=0,0,L17/H17)</f>
        <v>-0.76856488720861948</v>
      </c>
      <c r="O17" s="25"/>
      <c r="P17" s="22">
        <f>P12-P15</f>
        <v>288347</v>
      </c>
      <c r="Q17" s="13"/>
      <c r="R17" s="20">
        <f>IF(P$12=0,0,P17/P$12)</f>
        <v>1</v>
      </c>
      <c r="S17" s="13"/>
      <c r="T17" s="22">
        <f>T12-T15</f>
        <v>269605</v>
      </c>
      <c r="U17" s="13"/>
      <c r="V17" s="20">
        <f>IF(T$12=0,0,T17/T$12)</f>
        <v>1</v>
      </c>
      <c r="W17" s="15"/>
      <c r="X17" s="22">
        <f>+P17-T17</f>
        <v>18742</v>
      </c>
      <c r="Y17" s="15"/>
      <c r="Z17" s="20">
        <f>IF(T17=0,0,X17/T17)</f>
        <v>6.9516514901429863E-2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294</v>
      </c>
      <c r="C19" s="10"/>
      <c r="D19" s="21">
        <f>SUM(OSRRefD22x_0)</f>
        <v>37178.060000000005</v>
      </c>
      <c r="E19" s="21"/>
      <c r="F19" s="36">
        <f t="shared" ref="F19:F29" si="4">IF(D$12=0,0,D19/D$12)</f>
        <v>1.0598985089944979</v>
      </c>
      <c r="G19" s="21"/>
      <c r="H19" s="21">
        <f>SUM(OSRRefH22x_0)</f>
        <v>144748.98999999996</v>
      </c>
      <c r="I19" s="21"/>
      <c r="J19" s="36">
        <f t="shared" ref="J19:J29" si="5">IF(H$12=0,0,H19/H$12)</f>
        <v>0.95504173182109064</v>
      </c>
      <c r="K19" s="4"/>
      <c r="L19" s="21">
        <f t="shared" ref="L19:L29" si="6">+D19-H19</f>
        <v>-107570.92999999996</v>
      </c>
      <c r="M19" s="4"/>
      <c r="N19" s="36">
        <f t="shared" ref="N19:N29" si="7">IF(H19=0,0,L19/H19)</f>
        <v>-0.74315496087399291</v>
      </c>
      <c r="O19" s="10"/>
      <c r="P19" s="21">
        <f>SUM(OSRRefP22x_0)</f>
        <v>225884.85000000003</v>
      </c>
      <c r="Q19" s="21"/>
      <c r="R19" s="36">
        <f t="shared" ref="R19:R29" si="8">IF(P$12=0,0,P19/P$12)</f>
        <v>0.78337853350303643</v>
      </c>
      <c r="S19" s="21"/>
      <c r="T19" s="21">
        <f>SUM(OSRRefT22x_0)</f>
        <v>248711.98</v>
      </c>
      <c r="U19" s="21"/>
      <c r="V19" s="36">
        <f t="shared" ref="V19:V29" si="9">IF(T$12=0,0,T19/T$12)</f>
        <v>0.9225050722353072</v>
      </c>
      <c r="W19" s="4"/>
      <c r="X19" s="21">
        <f t="shared" ref="X19:X29" si="10">+P19-T19</f>
        <v>-22827.129999999976</v>
      </c>
      <c r="Y19" s="4"/>
      <c r="Z19" s="36">
        <f t="shared" ref="Z19:Z29" si="11">IF(T19=0,0,X19/T19)</f>
        <v>-9.178138503822765E-2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4997.1099999999997</v>
      </c>
      <c r="E20" s="1"/>
      <c r="F20" s="5">
        <f t="shared" si="4"/>
        <v>0.14246115688342786</v>
      </c>
      <c r="G20" s="1"/>
      <c r="H20" s="1">
        <f>SUM(OSRRefH22_0x_0)</f>
        <v>4682.09</v>
      </c>
      <c r="I20" s="1"/>
      <c r="J20" s="5">
        <f t="shared" si="5"/>
        <v>3.0892038294306659E-2</v>
      </c>
      <c r="K20" s="1"/>
      <c r="L20" s="1">
        <f t="shared" si="6"/>
        <v>315.01999999999953</v>
      </c>
      <c r="M20" s="1"/>
      <c r="N20" s="5">
        <f t="shared" si="7"/>
        <v>6.7281918972082883E-2</v>
      </c>
      <c r="O20" s="14"/>
      <c r="P20" s="1">
        <f>SUM(OSRRefP22_0x_0)</f>
        <v>16225.33</v>
      </c>
      <c r="Q20" s="1"/>
      <c r="R20" s="5">
        <f t="shared" si="8"/>
        <v>5.6270153669016845E-2</v>
      </c>
      <c r="S20" s="1"/>
      <c r="T20" s="1">
        <f>SUM(OSRRefT22_0x_0)</f>
        <v>16858.739999999998</v>
      </c>
      <c r="U20" s="1"/>
      <c r="V20" s="5">
        <f t="shared" si="9"/>
        <v>6.2531258693273487E-2</v>
      </c>
      <c r="W20" s="1"/>
      <c r="X20" s="1">
        <f t="shared" si="10"/>
        <v>-633.40999999999804</v>
      </c>
      <c r="Y20" s="1"/>
      <c r="Z20" s="5">
        <f t="shared" si="11"/>
        <v>-3.7571609740704115E-2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1435.84</v>
      </c>
      <c r="E21" s="2"/>
      <c r="F21" s="7">
        <f t="shared" si="4"/>
        <v>4.0933945320295345E-2</v>
      </c>
      <c r="G21" s="2"/>
      <c r="H21" s="6">
        <v>1375.38</v>
      </c>
      <c r="I21" s="2"/>
      <c r="J21" s="7">
        <f t="shared" si="5"/>
        <v>9.074642227984403E-3</v>
      </c>
      <c r="K21" s="2"/>
      <c r="L21" s="6">
        <f t="shared" si="6"/>
        <v>60.459999999999809</v>
      </c>
      <c r="M21" s="2"/>
      <c r="N21" s="7">
        <f t="shared" si="7"/>
        <v>4.3958760488010444E-2</v>
      </c>
      <c r="O21" s="11"/>
      <c r="P21" s="6">
        <v>4889.28</v>
      </c>
      <c r="Q21" s="2"/>
      <c r="R21" s="7">
        <f t="shared" si="8"/>
        <v>1.6956236756408078E-2</v>
      </c>
      <c r="S21" s="2"/>
      <c r="T21" s="6">
        <v>4521.6400000000003</v>
      </c>
      <c r="U21" s="2"/>
      <c r="V21" s="7">
        <f t="shared" si="9"/>
        <v>1.6771350679698076E-2</v>
      </c>
      <c r="W21" s="2"/>
      <c r="X21" s="6">
        <f t="shared" si="10"/>
        <v>367.63999999999942</v>
      </c>
      <c r="Y21" s="2"/>
      <c r="Z21" s="7">
        <f t="shared" si="11"/>
        <v>8.1306782494846866E-2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242.24</v>
      </c>
      <c r="E22" s="2"/>
      <c r="F22" s="7">
        <f t="shared" si="4"/>
        <v>6.9059497676540182E-3</v>
      </c>
      <c r="G22" s="2"/>
      <c r="H22" s="6">
        <v>79.05</v>
      </c>
      <c r="I22" s="2"/>
      <c r="J22" s="7">
        <f t="shared" si="5"/>
        <v>5.2156528968151856E-4</v>
      </c>
      <c r="K22" s="2"/>
      <c r="L22" s="6">
        <f t="shared" si="6"/>
        <v>163.19</v>
      </c>
      <c r="M22" s="2"/>
      <c r="N22" s="7">
        <f t="shared" si="7"/>
        <v>2.0643896268184694</v>
      </c>
      <c r="O22" s="11"/>
      <c r="P22" s="6">
        <v>738.97</v>
      </c>
      <c r="Q22" s="2"/>
      <c r="R22" s="7">
        <f t="shared" si="8"/>
        <v>2.5627802612824134E-3</v>
      </c>
      <c r="S22" s="2"/>
      <c r="T22" s="6">
        <v>323.54000000000002</v>
      </c>
      <c r="U22" s="2"/>
      <c r="V22" s="7">
        <f t="shared" si="9"/>
        <v>1.2000519278203298E-3</v>
      </c>
      <c r="W22" s="2"/>
      <c r="X22" s="6">
        <f t="shared" si="10"/>
        <v>415.43</v>
      </c>
      <c r="Y22" s="2"/>
      <c r="Z22" s="7">
        <f t="shared" si="11"/>
        <v>1.2840143413488285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3.0058157767197877E-2</v>
      </c>
      <c r="G23" s="2"/>
      <c r="H23" s="6">
        <v>1230.45</v>
      </c>
      <c r="I23" s="2"/>
      <c r="J23" s="7">
        <f t="shared" si="5"/>
        <v>8.118406207319729E-3</v>
      </c>
      <c r="K23" s="2"/>
      <c r="L23" s="6">
        <f t="shared" si="6"/>
        <v>-176.10000000000014</v>
      </c>
      <c r="M23" s="2"/>
      <c r="N23" s="7">
        <f t="shared" si="7"/>
        <v>-0.14311837132756319</v>
      </c>
      <c r="O23" s="11"/>
      <c r="P23" s="6">
        <v>4217.3999999999996</v>
      </c>
      <c r="Q23" s="2"/>
      <c r="R23" s="7">
        <f t="shared" si="8"/>
        <v>1.462612754771161E-2</v>
      </c>
      <c r="S23" s="2"/>
      <c r="T23" s="6">
        <v>4942.1000000000004</v>
      </c>
      <c r="U23" s="2"/>
      <c r="V23" s="7">
        <f t="shared" si="9"/>
        <v>1.8330891489401164E-2</v>
      </c>
      <c r="W23" s="2"/>
      <c r="X23" s="6">
        <f t="shared" si="10"/>
        <v>-724.70000000000073</v>
      </c>
      <c r="Y23" s="2"/>
      <c r="Z23" s="7">
        <f t="shared" si="11"/>
        <v>-0.14663806883713415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48.06</v>
      </c>
      <c r="E24" s="2"/>
      <c r="F24" s="7">
        <f t="shared" si="4"/>
        <v>1.3701285742794423E-3</v>
      </c>
      <c r="G24" s="2"/>
      <c r="H24" s="6">
        <v>35.130000000000003</v>
      </c>
      <c r="I24" s="2"/>
      <c r="J24" s="7">
        <f t="shared" si="5"/>
        <v>2.3178480235941493E-4</v>
      </c>
      <c r="K24" s="2"/>
      <c r="L24" s="6">
        <f t="shared" si="6"/>
        <v>12.93</v>
      </c>
      <c r="M24" s="2"/>
      <c r="N24" s="7">
        <f t="shared" si="7"/>
        <v>0.36806148590947907</v>
      </c>
      <c r="O24" s="11"/>
      <c r="P24" s="6">
        <v>146.16</v>
      </c>
      <c r="Q24" s="2"/>
      <c r="R24" s="7">
        <f t="shared" si="8"/>
        <v>5.0688926883234436E-4</v>
      </c>
      <c r="S24" s="2"/>
      <c r="T24" s="6">
        <v>146.30000000000001</v>
      </c>
      <c r="U24" s="2"/>
      <c r="V24" s="7">
        <f t="shared" si="9"/>
        <v>5.4264572244580036E-4</v>
      </c>
      <c r="W24" s="2"/>
      <c r="X24" s="6">
        <f t="shared" si="10"/>
        <v>-0.14000000000001478</v>
      </c>
      <c r="Y24" s="2"/>
      <c r="Z24" s="7">
        <f t="shared" si="11"/>
        <v>-9.5693779904316317E-4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879.87</v>
      </c>
      <c r="E25" s="2"/>
      <c r="F25" s="7">
        <f t="shared" si="4"/>
        <v>2.5083958149214585E-2</v>
      </c>
      <c r="G25" s="2"/>
      <c r="H25" s="6">
        <v>640.35</v>
      </c>
      <c r="I25" s="2"/>
      <c r="J25" s="7">
        <f t="shared" si="5"/>
        <v>4.2249757526573112E-3</v>
      </c>
      <c r="K25" s="2"/>
      <c r="L25" s="6">
        <f t="shared" si="6"/>
        <v>239.51999999999998</v>
      </c>
      <c r="M25" s="2"/>
      <c r="N25" s="7">
        <f t="shared" si="7"/>
        <v>0.37404544389786831</v>
      </c>
      <c r="O25" s="11"/>
      <c r="P25" s="6">
        <v>2639.61</v>
      </c>
      <c r="Q25" s="2"/>
      <c r="R25" s="7">
        <f t="shared" si="8"/>
        <v>9.1542828605811755E-3</v>
      </c>
      <c r="S25" s="2"/>
      <c r="T25" s="6">
        <v>2860.49</v>
      </c>
      <c r="U25" s="2"/>
      <c r="V25" s="7">
        <f t="shared" si="9"/>
        <v>1.0609929341073051E-2</v>
      </c>
      <c r="W25" s="2"/>
      <c r="X25" s="6">
        <f t="shared" si="10"/>
        <v>-220.87999999999965</v>
      </c>
      <c r="Y25" s="2"/>
      <c r="Z25" s="7">
        <f t="shared" si="11"/>
        <v>-7.7217539652297218E-2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4"/>
        <v>0</v>
      </c>
      <c r="G26" s="2"/>
      <c r="H26" s="6">
        <v>92.8</v>
      </c>
      <c r="I26" s="2"/>
      <c r="J26" s="7">
        <f t="shared" si="5"/>
        <v>6.1228663987912611E-4</v>
      </c>
      <c r="K26" s="2"/>
      <c r="L26" s="6">
        <f t="shared" si="6"/>
        <v>-92.8</v>
      </c>
      <c r="M26" s="2"/>
      <c r="N26" s="7">
        <f t="shared" si="7"/>
        <v>-1</v>
      </c>
      <c r="O26" s="11"/>
      <c r="P26" s="6">
        <v>215.15</v>
      </c>
      <c r="Q26" s="2"/>
      <c r="R26" s="7">
        <f t="shared" si="8"/>
        <v>7.4614960446961476E-4</v>
      </c>
      <c r="S26" s="2"/>
      <c r="T26" s="6">
        <v>377.9</v>
      </c>
      <c r="U26" s="2"/>
      <c r="V26" s="7">
        <f t="shared" si="9"/>
        <v>1.4016802359006694E-3</v>
      </c>
      <c r="W26" s="2"/>
      <c r="X26" s="6">
        <f t="shared" si="10"/>
        <v>-162.74999999999997</v>
      </c>
      <c r="Y26" s="2"/>
      <c r="Z26" s="7">
        <f t="shared" si="11"/>
        <v>-0.43066948928287901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6">
        <v>748.88</v>
      </c>
      <c r="E27" s="2"/>
      <c r="F27" s="7">
        <f t="shared" si="4"/>
        <v>2.1349602303503721E-2</v>
      </c>
      <c r="G27" s="2"/>
      <c r="H27" s="6">
        <v>780.03</v>
      </c>
      <c r="I27" s="2"/>
      <c r="J27" s="7">
        <f t="shared" si="5"/>
        <v>5.1465727123374437E-3</v>
      </c>
      <c r="K27" s="2"/>
      <c r="L27" s="6">
        <f t="shared" si="6"/>
        <v>-31.149999999999977</v>
      </c>
      <c r="M27" s="2"/>
      <c r="N27" s="7">
        <f t="shared" si="7"/>
        <v>-3.993436149891668E-2</v>
      </c>
      <c r="O27" s="11"/>
      <c r="P27" s="6">
        <v>1990.16</v>
      </c>
      <c r="Q27" s="2"/>
      <c r="R27" s="7">
        <f t="shared" si="8"/>
        <v>6.9019618723274393E-3</v>
      </c>
      <c r="S27" s="2"/>
      <c r="T27" s="6">
        <v>2340.09</v>
      </c>
      <c r="U27" s="2"/>
      <c r="V27" s="7">
        <f t="shared" si="9"/>
        <v>8.6796980768160826E-3</v>
      </c>
      <c r="W27" s="2"/>
      <c r="X27" s="6">
        <f t="shared" si="10"/>
        <v>-349.93000000000006</v>
      </c>
      <c r="Y27" s="2"/>
      <c r="Z27" s="7">
        <f t="shared" si="11"/>
        <v>-0.14953698362028814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6">
        <v>400.37</v>
      </c>
      <c r="E28" s="2"/>
      <c r="F28" s="7">
        <f t="shared" si="4"/>
        <v>1.1414031986771959E-2</v>
      </c>
      <c r="G28" s="2"/>
      <c r="H28" s="6">
        <v>448.9</v>
      </c>
      <c r="I28" s="2"/>
      <c r="J28" s="7">
        <f t="shared" si="5"/>
        <v>2.9618046620877125E-3</v>
      </c>
      <c r="K28" s="2"/>
      <c r="L28" s="6">
        <f t="shared" si="6"/>
        <v>-48.529999999999973</v>
      </c>
      <c r="M28" s="2"/>
      <c r="N28" s="7">
        <f t="shared" si="7"/>
        <v>-0.10810871018044102</v>
      </c>
      <c r="O28" s="11"/>
      <c r="P28" s="6">
        <v>1201.0999999999999</v>
      </c>
      <c r="Q28" s="2"/>
      <c r="R28" s="7">
        <f t="shared" si="8"/>
        <v>4.1654673015498684E-3</v>
      </c>
      <c r="S28" s="2"/>
      <c r="T28" s="6">
        <v>1346.68</v>
      </c>
      <c r="U28" s="2"/>
      <c r="V28" s="7">
        <f t="shared" si="9"/>
        <v>4.9950112201183217E-3</v>
      </c>
      <c r="W28" s="2"/>
      <c r="X28" s="6">
        <f t="shared" si="10"/>
        <v>-145.58000000000015</v>
      </c>
      <c r="Y28" s="2"/>
      <c r="Z28" s="7">
        <f t="shared" si="11"/>
        <v>-0.10810289007039545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187.5</v>
      </c>
      <c r="E29" s="2"/>
      <c r="F29" s="7">
        <f t="shared" si="4"/>
        <v>5.3453830145109328E-3</v>
      </c>
      <c r="G29" s="2"/>
      <c r="H29" s="6"/>
      <c r="I29" s="2"/>
      <c r="J29" s="7">
        <f t="shared" si="5"/>
        <v>0</v>
      </c>
      <c r="K29" s="2"/>
      <c r="L29" s="6">
        <f t="shared" si="6"/>
        <v>187.5</v>
      </c>
      <c r="M29" s="2"/>
      <c r="N29" s="7">
        <f t="shared" si="7"/>
        <v>0</v>
      </c>
      <c r="O29" s="11"/>
      <c r="P29" s="6">
        <v>187.5</v>
      </c>
      <c r="Q29" s="2"/>
      <c r="R29" s="7">
        <f t="shared" si="8"/>
        <v>6.5025819585430057E-4</v>
      </c>
      <c r="S29" s="2"/>
      <c r="T29" s="6"/>
      <c r="U29" s="2"/>
      <c r="V29" s="7">
        <f t="shared" si="9"/>
        <v>0</v>
      </c>
      <c r="W29" s="2"/>
      <c r="X29" s="6">
        <f t="shared" si="10"/>
        <v>187.5</v>
      </c>
      <c r="Y29" s="2"/>
      <c r="Z29" s="7">
        <f t="shared" si="11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15533.409999999998</v>
      </c>
      <c r="E30" s="1"/>
      <c r="F30" s="5">
        <f t="shared" ref="F30:F36" si="12">IF(D$12=0,0,D30/D$12)</f>
        <v>0.44283747184764938</v>
      </c>
      <c r="G30" s="1"/>
      <c r="H30" s="1">
        <f>SUM(OSRRefH22_1x_0)</f>
        <v>15690.42</v>
      </c>
      <c r="I30" s="1"/>
      <c r="J30" s="5">
        <f t="shared" ref="J30:J36" si="13">IF(H$12=0,0,H30/H$12)</f>
        <v>0.10352407909582154</v>
      </c>
      <c r="K30" s="1"/>
      <c r="L30" s="1">
        <f t="shared" ref="L30:L36" si="14">+D30-H30</f>
        <v>-157.01000000000204</v>
      </c>
      <c r="M30" s="1"/>
      <c r="N30" s="5">
        <f t="shared" ref="N30:N36" si="15">IF(H30=0,0,L30/H30)</f>
        <v>-1.0006742968002261E-2</v>
      </c>
      <c r="O30" s="14"/>
      <c r="P30" s="1">
        <f>SUM(OSRRefP22_1x_0)</f>
        <v>65671.909999999989</v>
      </c>
      <c r="Q30" s="1"/>
      <c r="R30" s="5">
        <f t="shared" ref="R30:R36" si="16">IF(P$12=0,0,P30/P$12)</f>
        <v>0.22775305447949862</v>
      </c>
      <c r="S30" s="1"/>
      <c r="T30" s="1">
        <f>SUM(OSRRefT22_1x_0)</f>
        <v>61737.279999999999</v>
      </c>
      <c r="U30" s="1"/>
      <c r="V30" s="5">
        <f t="shared" ref="V30:V36" si="17">IF(T$12=0,0,T30/T$12)</f>
        <v>0.22899159882049666</v>
      </c>
      <c r="W30" s="1"/>
      <c r="X30" s="1">
        <f t="shared" ref="X30:X36" si="18">+P30-T30</f>
        <v>3934.6299999999901</v>
      </c>
      <c r="Y30" s="1"/>
      <c r="Z30" s="5">
        <f t="shared" ref="Z30:Z36" si="19">IF(T30=0,0,X30/T30)</f>
        <v>6.3731832694929061E-2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>
        <v>4926.79</v>
      </c>
      <c r="E31" s="2"/>
      <c r="F31" s="7">
        <f t="shared" si="12"/>
        <v>0.14045642443766571</v>
      </c>
      <c r="G31" s="2"/>
      <c r="H31" s="6">
        <v>4205.1400000000003</v>
      </c>
      <c r="I31" s="2"/>
      <c r="J31" s="7">
        <f t="shared" si="13"/>
        <v>2.7745162077815827E-2</v>
      </c>
      <c r="K31" s="2"/>
      <c r="L31" s="6">
        <f t="shared" si="14"/>
        <v>721.64999999999964</v>
      </c>
      <c r="M31" s="2"/>
      <c r="N31" s="7">
        <f t="shared" si="15"/>
        <v>0.17161140889482862</v>
      </c>
      <c r="O31" s="11"/>
      <c r="P31" s="6">
        <v>19484.09</v>
      </c>
      <c r="Q31" s="2"/>
      <c r="R31" s="7">
        <f t="shared" si="16"/>
        <v>6.7571675793401703E-2</v>
      </c>
      <c r="S31" s="2"/>
      <c r="T31" s="6">
        <v>17874.3</v>
      </c>
      <c r="U31" s="2"/>
      <c r="V31" s="7">
        <f t="shared" si="17"/>
        <v>6.6298102779992957E-2</v>
      </c>
      <c r="W31" s="2"/>
      <c r="X31" s="6">
        <f t="shared" si="18"/>
        <v>1609.7900000000009</v>
      </c>
      <c r="Y31" s="2"/>
      <c r="Z31" s="7">
        <f t="shared" si="19"/>
        <v>9.0061708710271221E-2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>
        <v>980.59</v>
      </c>
      <c r="E32" s="2"/>
      <c r="F32" s="7">
        <f t="shared" si="12"/>
        <v>2.7955355361062806E-2</v>
      </c>
      <c r="G32" s="2"/>
      <c r="H32" s="6">
        <v>2852.45</v>
      </c>
      <c r="I32" s="2"/>
      <c r="J32" s="7">
        <f t="shared" si="13"/>
        <v>1.8820226572448421E-2</v>
      </c>
      <c r="K32" s="2"/>
      <c r="L32" s="6">
        <f t="shared" si="14"/>
        <v>-1871.8599999999997</v>
      </c>
      <c r="M32" s="2"/>
      <c r="N32" s="7">
        <f t="shared" si="15"/>
        <v>-0.65622885589580882</v>
      </c>
      <c r="O32" s="11"/>
      <c r="P32" s="6">
        <v>9036.57</v>
      </c>
      <c r="Q32" s="2"/>
      <c r="R32" s="7">
        <f t="shared" si="16"/>
        <v>3.1339219759525846E-2</v>
      </c>
      <c r="S32" s="2"/>
      <c r="T32" s="6">
        <v>9813.89</v>
      </c>
      <c r="U32" s="2"/>
      <c r="V32" s="7">
        <f t="shared" si="17"/>
        <v>3.6400994046846311E-2</v>
      </c>
      <c r="W32" s="2"/>
      <c r="X32" s="6">
        <f t="shared" si="18"/>
        <v>-777.31999999999971</v>
      </c>
      <c r="Y32" s="2"/>
      <c r="Z32" s="7">
        <f t="shared" si="19"/>
        <v>-7.9206104816744408E-2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>
        <v>1739.5</v>
      </c>
      <c r="E33" s="2"/>
      <c r="F33" s="7">
        <f t="shared" si="12"/>
        <v>4.95909000199561E-2</v>
      </c>
      <c r="G33" s="2"/>
      <c r="H33" s="6"/>
      <c r="I33" s="2"/>
      <c r="J33" s="7">
        <f t="shared" si="13"/>
        <v>0</v>
      </c>
      <c r="K33" s="2"/>
      <c r="L33" s="6">
        <f t="shared" si="14"/>
        <v>1739.5</v>
      </c>
      <c r="M33" s="2"/>
      <c r="N33" s="7">
        <f t="shared" si="15"/>
        <v>0</v>
      </c>
      <c r="O33" s="11"/>
      <c r="P33" s="6">
        <v>6649.9</v>
      </c>
      <c r="Q33" s="2"/>
      <c r="R33" s="7">
        <f t="shared" si="16"/>
        <v>2.3062143875261402E-2</v>
      </c>
      <c r="S33" s="2"/>
      <c r="T33" s="6"/>
      <c r="U33" s="2"/>
      <c r="V33" s="7">
        <f t="shared" si="17"/>
        <v>0</v>
      </c>
      <c r="W33" s="2"/>
      <c r="X33" s="6">
        <f t="shared" si="18"/>
        <v>6649.9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>
        <v>8606.81</v>
      </c>
      <c r="E34" s="2"/>
      <c r="F34" s="7">
        <f t="shared" si="12"/>
        <v>0.24536904524332181</v>
      </c>
      <c r="G34" s="2"/>
      <c r="H34" s="6">
        <v>8347.7999999999993</v>
      </c>
      <c r="I34" s="2"/>
      <c r="J34" s="7">
        <f t="shared" si="13"/>
        <v>5.5078086340333718E-2</v>
      </c>
      <c r="K34" s="2"/>
      <c r="L34" s="6">
        <f t="shared" si="14"/>
        <v>259.01000000000022</v>
      </c>
      <c r="M34" s="2"/>
      <c r="N34" s="7">
        <f t="shared" si="15"/>
        <v>3.102733654376006E-2</v>
      </c>
      <c r="O34" s="11"/>
      <c r="P34" s="6">
        <v>27449.93</v>
      </c>
      <c r="Q34" s="2"/>
      <c r="R34" s="7">
        <f t="shared" si="16"/>
        <v>9.5197557110009809E-2</v>
      </c>
      <c r="S34" s="2"/>
      <c r="T34" s="6">
        <v>29353.32</v>
      </c>
      <c r="U34" s="2"/>
      <c r="V34" s="7">
        <f t="shared" si="17"/>
        <v>0.10887528050295803</v>
      </c>
      <c r="W34" s="2"/>
      <c r="X34" s="6">
        <f t="shared" si="18"/>
        <v>-1903.3899999999994</v>
      </c>
      <c r="Y34" s="2"/>
      <c r="Z34" s="7">
        <f t="shared" si="19"/>
        <v>-6.4844113033891884E-2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6">
        <v>-884.5</v>
      </c>
      <c r="E35" s="2"/>
      <c r="F35" s="7">
        <f t="shared" si="12"/>
        <v>-2.5215953473786242E-2</v>
      </c>
      <c r="G35" s="2"/>
      <c r="H35" s="6">
        <v>-756.15</v>
      </c>
      <c r="I35" s="2"/>
      <c r="J35" s="7">
        <f t="shared" si="13"/>
        <v>-4.989014469230617E-3</v>
      </c>
      <c r="K35" s="2"/>
      <c r="L35" s="6">
        <f t="shared" si="14"/>
        <v>-128.35000000000002</v>
      </c>
      <c r="M35" s="2"/>
      <c r="N35" s="7">
        <f t="shared" si="15"/>
        <v>0.16974145341532768</v>
      </c>
      <c r="O35" s="11"/>
      <c r="P35" s="6">
        <v>2887.2</v>
      </c>
      <c r="Q35" s="2"/>
      <c r="R35" s="7">
        <f t="shared" si="16"/>
        <v>1.001293580304286E-2</v>
      </c>
      <c r="S35" s="2"/>
      <c r="T35" s="6">
        <v>2811.23</v>
      </c>
      <c r="U35" s="2"/>
      <c r="V35" s="7">
        <f t="shared" si="17"/>
        <v>1.0427217596112832E-2</v>
      </c>
      <c r="W35" s="2"/>
      <c r="X35" s="6">
        <f t="shared" si="18"/>
        <v>75.9699999999998</v>
      </c>
      <c r="Y35" s="2"/>
      <c r="Z35" s="7">
        <f t="shared" si="19"/>
        <v>2.7023758283740498E-2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6">
        <v>164.22</v>
      </c>
      <c r="E36" s="2"/>
      <c r="F36" s="7">
        <f t="shared" si="12"/>
        <v>4.6817002594292554E-3</v>
      </c>
      <c r="G36" s="2"/>
      <c r="H36" s="6">
        <v>1041.18</v>
      </c>
      <c r="I36" s="2"/>
      <c r="J36" s="7">
        <f t="shared" si="13"/>
        <v>6.8696185744541874E-3</v>
      </c>
      <c r="K36" s="2"/>
      <c r="L36" s="6">
        <f t="shared" si="14"/>
        <v>-876.96</v>
      </c>
      <c r="M36" s="2"/>
      <c r="N36" s="7">
        <f t="shared" si="15"/>
        <v>-0.84227511093182739</v>
      </c>
      <c r="O36" s="11"/>
      <c r="P36" s="6">
        <v>164.22</v>
      </c>
      <c r="Q36" s="2"/>
      <c r="R36" s="7">
        <f t="shared" si="16"/>
        <v>5.6952213825703054E-4</v>
      </c>
      <c r="S36" s="2"/>
      <c r="T36" s="6">
        <v>1884.54</v>
      </c>
      <c r="U36" s="2"/>
      <c r="V36" s="7">
        <f t="shared" si="17"/>
        <v>6.9900038945865245E-3</v>
      </c>
      <c r="W36" s="2"/>
      <c r="X36" s="6">
        <f t="shared" si="18"/>
        <v>-1720.32</v>
      </c>
      <c r="Y36" s="2"/>
      <c r="Z36" s="7">
        <f t="shared" si="19"/>
        <v>-0.91285937151771779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77.180000000000007</v>
      </c>
      <c r="E37" s="1"/>
      <c r="F37" s="5">
        <f t="shared" ref="F37:F43" si="20">IF(D$12=0,0,D37/D$12)</f>
        <v>2.2003021923197538E-3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77.180000000000007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3.9001619576413139E-4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6">
        <v>77.180000000000007</v>
      </c>
      <c r="E38" s="2"/>
      <c r="F38" s="7">
        <f t="shared" si="20"/>
        <v>2.2003021923197538E-3</v>
      </c>
      <c r="G38" s="2"/>
      <c r="H38" s="6"/>
      <c r="I38" s="2"/>
      <c r="J38" s="7">
        <f t="shared" si="21"/>
        <v>0</v>
      </c>
      <c r="K38" s="2"/>
      <c r="L38" s="6">
        <f t="shared" si="22"/>
        <v>77.180000000000007</v>
      </c>
      <c r="M38" s="2"/>
      <c r="N38" s="7">
        <f t="shared" si="23"/>
        <v>0</v>
      </c>
      <c r="O38" s="11"/>
      <c r="P38" s="6">
        <v>112.46</v>
      </c>
      <c r="Q38" s="2"/>
      <c r="R38" s="7">
        <f t="shared" si="24"/>
        <v>3.9001619576413139E-4</v>
      </c>
      <c r="S38" s="2"/>
      <c r="T38" s="6"/>
      <c r="U38" s="2"/>
      <c r="V38" s="7">
        <f t="shared" si="25"/>
        <v>0</v>
      </c>
      <c r="W38" s="2"/>
      <c r="X38" s="6">
        <f t="shared" si="26"/>
        <v>112.46</v>
      </c>
      <c r="Y38" s="2"/>
      <c r="Z38" s="7">
        <f t="shared" si="27"/>
        <v>0</v>
      </c>
    </row>
    <row r="39" spans="1:26" s="28" customFormat="1" outlineLevel="1" collapsed="1" x14ac:dyDescent="0.25">
      <c r="A39" s="27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330.9</v>
      </c>
      <c r="E39" s="1"/>
      <c r="F39" s="5">
        <f t="shared" si="20"/>
        <v>9.4335319440088938E-3</v>
      </c>
      <c r="G39" s="1"/>
      <c r="H39" s="1">
        <f>SUM(OSRRefH22_3x_0)</f>
        <v>55.04</v>
      </c>
      <c r="I39" s="1"/>
      <c r="J39" s="5">
        <f t="shared" si="21"/>
        <v>3.631493174455507E-4</v>
      </c>
      <c r="K39" s="1"/>
      <c r="L39" s="1">
        <f t="shared" si="22"/>
        <v>275.85999999999996</v>
      </c>
      <c r="M39" s="1"/>
      <c r="N39" s="5">
        <f t="shared" si="23"/>
        <v>5.0119912790697665</v>
      </c>
      <c r="O39" s="14"/>
      <c r="P39" s="1">
        <f>SUM(OSRRefP22_3x_0)</f>
        <v>1303.1099999999999</v>
      </c>
      <c r="Q39" s="1"/>
      <c r="R39" s="5">
        <f t="shared" si="24"/>
        <v>4.5192424405317202E-3</v>
      </c>
      <c r="S39" s="1"/>
      <c r="T39" s="1">
        <f>SUM(OSRRefT22_3x_0)</f>
        <v>519.47</v>
      </c>
      <c r="U39" s="1"/>
      <c r="V39" s="5">
        <f t="shared" si="25"/>
        <v>1.9267817733350644E-3</v>
      </c>
      <c r="W39" s="1"/>
      <c r="X39" s="1">
        <f t="shared" si="26"/>
        <v>783.63999999999987</v>
      </c>
      <c r="Y39" s="1"/>
      <c r="Z39" s="5">
        <f t="shared" si="27"/>
        <v>1.5085375478853444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6">
        <v>330.9</v>
      </c>
      <c r="E40" s="2"/>
      <c r="F40" s="7">
        <f t="shared" si="20"/>
        <v>9.4335319440088938E-3</v>
      </c>
      <c r="G40" s="2"/>
      <c r="H40" s="6">
        <v>55.04</v>
      </c>
      <c r="I40" s="2"/>
      <c r="J40" s="7">
        <f t="shared" si="21"/>
        <v>3.631493174455507E-4</v>
      </c>
      <c r="K40" s="2"/>
      <c r="L40" s="6">
        <f t="shared" si="22"/>
        <v>275.85999999999996</v>
      </c>
      <c r="M40" s="2"/>
      <c r="N40" s="7">
        <f t="shared" si="23"/>
        <v>5.0119912790697665</v>
      </c>
      <c r="O40" s="11"/>
      <c r="P40" s="6">
        <v>1303.1099999999999</v>
      </c>
      <c r="Q40" s="2"/>
      <c r="R40" s="7">
        <f t="shared" si="24"/>
        <v>4.5192424405317202E-3</v>
      </c>
      <c r="S40" s="2"/>
      <c r="T40" s="6">
        <v>519.47</v>
      </c>
      <c r="U40" s="2"/>
      <c r="V40" s="7">
        <f t="shared" si="25"/>
        <v>1.9267817733350644E-3</v>
      </c>
      <c r="W40" s="2"/>
      <c r="X40" s="6">
        <f t="shared" si="26"/>
        <v>783.63999999999987</v>
      </c>
      <c r="Y40" s="2"/>
      <c r="Z40" s="7">
        <f t="shared" si="27"/>
        <v>1.5085375478853444</v>
      </c>
    </row>
    <row r="41" spans="1:26" s="28" customFormat="1" outlineLevel="1" collapsed="1" x14ac:dyDescent="0.25">
      <c r="A41" s="27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0.31</v>
      </c>
      <c r="E41" s="1"/>
      <c r="F41" s="5">
        <f t="shared" si="20"/>
        <v>8.8376999173247428E-6</v>
      </c>
      <c r="G41" s="1"/>
      <c r="H41" s="1">
        <f>SUM(OSRRefH22_4x_0)</f>
        <v>1.33</v>
      </c>
      <c r="I41" s="1"/>
      <c r="J41" s="5">
        <f t="shared" si="21"/>
        <v>8.7752287827504075E-6</v>
      </c>
      <c r="K41" s="1"/>
      <c r="L41" s="1">
        <f t="shared" si="22"/>
        <v>-1.02</v>
      </c>
      <c r="M41" s="1"/>
      <c r="N41" s="5">
        <f t="shared" si="23"/>
        <v>-0.76691729323308266</v>
      </c>
      <c r="O41" s="14"/>
      <c r="P41" s="1">
        <f>SUM(OSRRefP22_4x_0)</f>
        <v>0.62</v>
      </c>
      <c r="Q41" s="1"/>
      <c r="R41" s="5">
        <f t="shared" si="24"/>
        <v>2.1501871009582204E-6</v>
      </c>
      <c r="S41" s="1"/>
      <c r="T41" s="1">
        <f>SUM(OSRRefT22_4x_0)</f>
        <v>2.12</v>
      </c>
      <c r="U41" s="1"/>
      <c r="V41" s="5">
        <f t="shared" si="25"/>
        <v>7.8633556499323092E-6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25">
      <c r="A42" s="29"/>
      <c r="B42" s="11" t="str">
        <f>CONCATENATE("          ", "6305", " - ", "FREIGHT OUT")</f>
        <v xml:space="preserve">          6305 - FREIGHT OUT</v>
      </c>
      <c r="C42" s="11"/>
      <c r="D42" s="6">
        <v>0.31</v>
      </c>
      <c r="E42" s="2"/>
      <c r="F42" s="7">
        <f t="shared" si="20"/>
        <v>8.8376999173247428E-6</v>
      </c>
      <c r="G42" s="2"/>
      <c r="H42" s="6">
        <v>1.33</v>
      </c>
      <c r="I42" s="2"/>
      <c r="J42" s="7">
        <f t="shared" si="21"/>
        <v>8.7752287827504075E-6</v>
      </c>
      <c r="K42" s="2"/>
      <c r="L42" s="6">
        <f t="shared" si="22"/>
        <v>-1.02</v>
      </c>
      <c r="M42" s="2"/>
      <c r="N42" s="7">
        <f t="shared" si="23"/>
        <v>-0.76691729323308266</v>
      </c>
      <c r="O42" s="11"/>
      <c r="P42" s="6">
        <v>0.62</v>
      </c>
      <c r="Q42" s="2"/>
      <c r="R42" s="7">
        <f t="shared" si="24"/>
        <v>2.1501871009582204E-6</v>
      </c>
      <c r="S42" s="2"/>
      <c r="T42" s="6">
        <v>1.62</v>
      </c>
      <c r="U42" s="2"/>
      <c r="V42" s="7">
        <f t="shared" si="25"/>
        <v>6.0087906381558211E-6</v>
      </c>
      <c r="W42" s="2"/>
      <c r="X42" s="6">
        <f t="shared" si="26"/>
        <v>-1</v>
      </c>
      <c r="Y42" s="2"/>
      <c r="Z42" s="7">
        <f t="shared" si="27"/>
        <v>-0.61728395061728392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0.5</v>
      </c>
      <c r="U43" s="2"/>
      <c r="V43" s="7">
        <f t="shared" si="25"/>
        <v>1.8545650117764878E-6</v>
      </c>
      <c r="W43" s="2"/>
      <c r="X43" s="6">
        <f t="shared" si="26"/>
        <v>-0.5</v>
      </c>
      <c r="Y43" s="2"/>
      <c r="Z43" s="7">
        <f t="shared" si="27"/>
        <v>-1</v>
      </c>
    </row>
    <row r="44" spans="1:26" s="28" customFormat="1" outlineLevel="1" collapsed="1" x14ac:dyDescent="0.25">
      <c r="A44" s="27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0" si="28">IF(D$12=0,0,D44/D$12)</f>
        <v>1.1240984120648857E-3</v>
      </c>
      <c r="G44" s="1"/>
      <c r="H44" s="1">
        <f>SUM(OSRRefH22_5x_0)</f>
        <v>29.01</v>
      </c>
      <c r="I44" s="1"/>
      <c r="J44" s="5">
        <f t="shared" ref="J44:J50" si="29">IF(H$12=0,0,H44/H$12)</f>
        <v>1.9140555412600703E-4</v>
      </c>
      <c r="K44" s="1"/>
      <c r="L44" s="1">
        <f t="shared" ref="L44:L50" si="30">+D44-H44</f>
        <v>10.419999999999998</v>
      </c>
      <c r="M44" s="1"/>
      <c r="N44" s="5">
        <f t="shared" ref="N44:N50" si="31">IF(H44=0,0,L44/H44)</f>
        <v>0.35918648741813158</v>
      </c>
      <c r="O44" s="14"/>
      <c r="P44" s="1">
        <f>SUM(OSRRefP22_5x_0)</f>
        <v>157.72</v>
      </c>
      <c r="Q44" s="1"/>
      <c r="R44" s="5">
        <f t="shared" ref="R44:R50" si="32">IF(P$12=0,0,P44/P$12)</f>
        <v>5.4697985413408145E-4</v>
      </c>
      <c r="S44" s="1"/>
      <c r="T44" s="1">
        <f>SUM(OSRRefT22_5x_0)</f>
        <v>116.04</v>
      </c>
      <c r="U44" s="1"/>
      <c r="V44" s="5">
        <f t="shared" ref="V44:V50" si="33">IF(T$12=0,0,T44/T$12)</f>
        <v>4.3040744793308732E-4</v>
      </c>
      <c r="W44" s="1"/>
      <c r="X44" s="1">
        <f t="shared" ref="X44:X50" si="34">+P44-T44</f>
        <v>41.679999999999993</v>
      </c>
      <c r="Y44" s="1"/>
      <c r="Z44" s="5">
        <f t="shared" ref="Z44:Z50" si="35">IF(T44=0,0,X44/T44)</f>
        <v>0.35918648741813158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6">
        <v>39.43</v>
      </c>
      <c r="E45" s="2"/>
      <c r="F45" s="7">
        <f t="shared" si="28"/>
        <v>1.1240984120648857E-3</v>
      </c>
      <c r="G45" s="2"/>
      <c r="H45" s="6">
        <v>29.01</v>
      </c>
      <c r="I45" s="2"/>
      <c r="J45" s="7">
        <f t="shared" si="29"/>
        <v>1.9140555412600703E-4</v>
      </c>
      <c r="K45" s="2"/>
      <c r="L45" s="6">
        <f t="shared" si="30"/>
        <v>10.419999999999998</v>
      </c>
      <c r="M45" s="2"/>
      <c r="N45" s="7">
        <f t="shared" si="31"/>
        <v>0.35918648741813158</v>
      </c>
      <c r="O45" s="11"/>
      <c r="P45" s="6">
        <v>157.72</v>
      </c>
      <c r="Q45" s="2"/>
      <c r="R45" s="7">
        <f t="shared" si="32"/>
        <v>5.4697985413408145E-4</v>
      </c>
      <c r="S45" s="2"/>
      <c r="T45" s="6">
        <v>116.04</v>
      </c>
      <c r="U45" s="2"/>
      <c r="V45" s="7">
        <f t="shared" si="33"/>
        <v>4.3040744793308732E-4</v>
      </c>
      <c r="W45" s="2"/>
      <c r="X45" s="6">
        <f t="shared" si="34"/>
        <v>41.679999999999993</v>
      </c>
      <c r="Y45" s="2"/>
      <c r="Z45" s="7">
        <f t="shared" si="35"/>
        <v>0.35918648741813158</v>
      </c>
    </row>
    <row r="46" spans="1:26" s="28" customFormat="1" outlineLevel="1" collapsed="1" x14ac:dyDescent="0.25">
      <c r="A46" s="27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2.2806967528579983E-2</v>
      </c>
      <c r="G46" s="1"/>
      <c r="H46" s="1">
        <f>SUM(OSRRefH22_6x_0)</f>
        <v>800</v>
      </c>
      <c r="I46" s="1"/>
      <c r="J46" s="5">
        <f t="shared" si="29"/>
        <v>5.2783331024062602E-3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3200</v>
      </c>
      <c r="Q46" s="1"/>
      <c r="R46" s="5">
        <f t="shared" si="32"/>
        <v>1.1097739875913396E-2</v>
      </c>
      <c r="S46" s="1"/>
      <c r="T46" s="1">
        <f>SUM(OSRRefT22_6x_0)</f>
        <v>3200</v>
      </c>
      <c r="U46" s="1"/>
      <c r="V46" s="5">
        <f t="shared" si="33"/>
        <v>1.1869216075369522E-2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25">
      <c r="A47" s="29"/>
      <c r="B47" s="11" t="str">
        <f>CONCATENATE("          ", "6273", " - ", "RENT")</f>
        <v xml:space="preserve">          6273 - RENT</v>
      </c>
      <c r="C47" s="11"/>
      <c r="D47" s="6">
        <v>800</v>
      </c>
      <c r="E47" s="2"/>
      <c r="F47" s="7">
        <f t="shared" si="28"/>
        <v>2.2806967528579983E-2</v>
      </c>
      <c r="G47" s="2"/>
      <c r="H47" s="6">
        <v>800</v>
      </c>
      <c r="I47" s="2"/>
      <c r="J47" s="7">
        <f t="shared" si="29"/>
        <v>5.2783331024062602E-3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3200</v>
      </c>
      <c r="Q47" s="2"/>
      <c r="R47" s="7">
        <f t="shared" si="32"/>
        <v>1.1097739875913396E-2</v>
      </c>
      <c r="S47" s="2"/>
      <c r="T47" s="6">
        <v>3200</v>
      </c>
      <c r="U47" s="2"/>
      <c r="V47" s="7">
        <f t="shared" si="33"/>
        <v>1.1869216075369522E-2</v>
      </c>
      <c r="W47" s="2"/>
      <c r="X47" s="6">
        <f t="shared" si="34"/>
        <v>0</v>
      </c>
      <c r="Y47" s="2"/>
      <c r="Z47" s="7">
        <f t="shared" si="35"/>
        <v>0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117265.9</v>
      </c>
      <c r="I48" s="1"/>
      <c r="J48" s="5">
        <f t="shared" si="29"/>
        <v>0.77371060219182775</v>
      </c>
      <c r="K48" s="1"/>
      <c r="L48" s="1">
        <f t="shared" si="30"/>
        <v>-117265.9</v>
      </c>
      <c r="M48" s="1"/>
      <c r="N48" s="5">
        <f t="shared" si="31"/>
        <v>-1</v>
      </c>
      <c r="O48" s="14"/>
      <c r="P48" s="1">
        <f>SUM(OSRRefP22_7x_0)</f>
        <v>122000.62</v>
      </c>
      <c r="Q48" s="1"/>
      <c r="R48" s="5">
        <f t="shared" si="32"/>
        <v>0.42310348295629918</v>
      </c>
      <c r="S48" s="1"/>
      <c r="T48" s="1">
        <f>SUM(OSRRefT22_7x_0)</f>
        <v>123827.9</v>
      </c>
      <c r="U48" s="1"/>
      <c r="V48" s="5">
        <f t="shared" si="33"/>
        <v>0.45929378164351548</v>
      </c>
      <c r="W48" s="1"/>
      <c r="X48" s="1">
        <f t="shared" si="34"/>
        <v>-1827.2799999999988</v>
      </c>
      <c r="Y48" s="1"/>
      <c r="Z48" s="5">
        <f t="shared" si="35"/>
        <v>-1.4756609778571702E-2</v>
      </c>
    </row>
    <row r="49" spans="1:26" s="24" customFormat="1" hidden="1" outlineLevel="2" x14ac:dyDescent="0.25">
      <c r="A49" s="29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>
        <v>117265.9</v>
      </c>
      <c r="I49" s="2"/>
      <c r="J49" s="7">
        <f t="shared" si="29"/>
        <v>0.77371060219182775</v>
      </c>
      <c r="K49" s="2"/>
      <c r="L49" s="6">
        <f t="shared" si="30"/>
        <v>-117265.9</v>
      </c>
      <c r="M49" s="2"/>
      <c r="N49" s="7">
        <f t="shared" si="31"/>
        <v>-1</v>
      </c>
      <c r="O49" s="11"/>
      <c r="P49" s="6">
        <v>122000.62</v>
      </c>
      <c r="Q49" s="2"/>
      <c r="R49" s="7">
        <f t="shared" si="32"/>
        <v>0.42310348295629918</v>
      </c>
      <c r="S49" s="2"/>
      <c r="T49" s="6">
        <v>117265.9</v>
      </c>
      <c r="U49" s="2"/>
      <c r="V49" s="7">
        <f t="shared" si="33"/>
        <v>0.43495447042896085</v>
      </c>
      <c r="W49" s="2"/>
      <c r="X49" s="6">
        <f t="shared" si="34"/>
        <v>4734.7200000000012</v>
      </c>
      <c r="Y49" s="2"/>
      <c r="Z49" s="7">
        <f t="shared" si="35"/>
        <v>4.0375931963170894E-2</v>
      </c>
    </row>
    <row r="50" spans="1:26" s="24" customFormat="1" hidden="1" outlineLevel="2" x14ac:dyDescent="0.25">
      <c r="A50" s="29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6562</v>
      </c>
      <c r="U50" s="2"/>
      <c r="V50" s="7">
        <f t="shared" si="33"/>
        <v>2.4339311214554626E-2</v>
      </c>
      <c r="W50" s="2"/>
      <c r="X50" s="6">
        <f t="shared" si="34"/>
        <v>-6562</v>
      </c>
      <c r="Y50" s="2"/>
      <c r="Z50" s="7">
        <f t="shared" si="35"/>
        <v>-1</v>
      </c>
    </row>
    <row r="51" spans="1:26" s="28" customFormat="1" outlineLevel="1" collapsed="1" x14ac:dyDescent="0.25">
      <c r="A51" s="27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13312.42</v>
      </c>
      <c r="E51" s="1"/>
      <c r="F51" s="5">
        <f t="shared" ref="F51:F53" si="36">IF(D$12=0,0,D51/D$12)</f>
        <v>0.37951991333352342</v>
      </c>
      <c r="G51" s="1"/>
      <c r="H51" s="1">
        <f>SUM(OSRRefH22_8x_0)</f>
        <v>6088.55</v>
      </c>
      <c r="I51" s="1"/>
      <c r="J51" s="5">
        <f t="shared" ref="J51:J53" si="37">IF(H$12=0,0,H51/H$12)</f>
        <v>4.0171743763319542E-2</v>
      </c>
      <c r="K51" s="1"/>
      <c r="L51" s="1">
        <f t="shared" ref="L51:L53" si="38">+D51-H51</f>
        <v>7223.87</v>
      </c>
      <c r="M51" s="1"/>
      <c r="N51" s="5">
        <f t="shared" ref="N51:N53" si="39">IF(H51=0,0,L51/H51)</f>
        <v>1.1864680424731668</v>
      </c>
      <c r="O51" s="14"/>
      <c r="P51" s="1">
        <f>SUM(OSRRefP22_8x_0)</f>
        <v>15289.080000000002</v>
      </c>
      <c r="Q51" s="1"/>
      <c r="R51" s="5">
        <f t="shared" ref="R51:R53" si="40">IF(P$12=0,0,P51/P$12)</f>
        <v>5.3023197744384375E-2</v>
      </c>
      <c r="S51" s="1"/>
      <c r="T51" s="1">
        <f>SUM(OSRRefT22_8x_0)</f>
        <v>41271.699999999997</v>
      </c>
      <c r="U51" s="1"/>
      <c r="V51" s="5">
        <f t="shared" ref="V51:V53" si="41">IF(T$12=0,0,T51/T$12)</f>
        <v>0.15308210159307134</v>
      </c>
      <c r="W51" s="1"/>
      <c r="X51" s="1">
        <f t="shared" ref="X51:X53" si="42">+P51-T51</f>
        <v>-25982.619999999995</v>
      </c>
      <c r="Y51" s="1"/>
      <c r="Z51" s="5">
        <f t="shared" ref="Z51:Z53" si="43">IF(T51=0,0,X51/T51)</f>
        <v>-0.62955051524410177</v>
      </c>
    </row>
    <row r="52" spans="1:26" s="24" customFormat="1" hidden="1" outlineLevel="2" x14ac:dyDescent="0.25">
      <c r="A52" s="29"/>
      <c r="B52" s="11" t="str">
        <f>CONCATENATE("          ", "6241", " - ", "OFFICE EXPENSE")</f>
        <v xml:space="preserve">          6241 - OFFICE EXPENSE</v>
      </c>
      <c r="C52" s="11"/>
      <c r="D52" s="6">
        <v>13295.88</v>
      </c>
      <c r="E52" s="2"/>
      <c r="F52" s="7">
        <f t="shared" si="36"/>
        <v>0.37904837927986995</v>
      </c>
      <c r="G52" s="2"/>
      <c r="H52" s="6">
        <v>6088.55</v>
      </c>
      <c r="I52" s="2"/>
      <c r="J52" s="7">
        <f t="shared" si="37"/>
        <v>4.0171743763319542E-2</v>
      </c>
      <c r="K52" s="2"/>
      <c r="L52" s="6">
        <f t="shared" si="38"/>
        <v>7207.329999999999</v>
      </c>
      <c r="M52" s="2"/>
      <c r="N52" s="7">
        <f t="shared" si="39"/>
        <v>1.1837514679192909</v>
      </c>
      <c r="O52" s="11"/>
      <c r="P52" s="6">
        <v>15272.54</v>
      </c>
      <c r="Q52" s="2"/>
      <c r="R52" s="7">
        <f t="shared" si="40"/>
        <v>5.2965836301400747E-2</v>
      </c>
      <c r="S52" s="2"/>
      <c r="T52" s="6">
        <v>41271.699999999997</v>
      </c>
      <c r="U52" s="2"/>
      <c r="V52" s="7">
        <f t="shared" si="41"/>
        <v>0.15308210159307134</v>
      </c>
      <c r="W52" s="2"/>
      <c r="X52" s="6">
        <f t="shared" si="42"/>
        <v>-25999.159999999996</v>
      </c>
      <c r="Y52" s="2"/>
      <c r="Z52" s="7">
        <f t="shared" si="43"/>
        <v>-0.62995127411761564</v>
      </c>
    </row>
    <row r="53" spans="1:26" s="24" customFormat="1" hidden="1" outlineLevel="2" x14ac:dyDescent="0.25">
      <c r="A53" s="29"/>
      <c r="B53" s="11" t="str">
        <f>CONCATENATE("          ", "6247", " - ", "STORE SUPPLIES")</f>
        <v xml:space="preserve">          6247 - STORE SUPPLIES</v>
      </c>
      <c r="C53" s="11"/>
      <c r="D53" s="6">
        <v>16.54</v>
      </c>
      <c r="E53" s="2"/>
      <c r="F53" s="7">
        <f t="shared" si="36"/>
        <v>4.715340536533911E-4</v>
      </c>
      <c r="G53" s="2"/>
      <c r="H53" s="6"/>
      <c r="I53" s="2"/>
      <c r="J53" s="7">
        <f t="shared" si="37"/>
        <v>0</v>
      </c>
      <c r="K53" s="2"/>
      <c r="L53" s="6">
        <f t="shared" si="38"/>
        <v>16.54</v>
      </c>
      <c r="M53" s="2"/>
      <c r="N53" s="7">
        <f t="shared" si="39"/>
        <v>0</v>
      </c>
      <c r="O53" s="11"/>
      <c r="P53" s="6">
        <v>16.54</v>
      </c>
      <c r="Q53" s="2"/>
      <c r="R53" s="7">
        <f t="shared" si="40"/>
        <v>5.7361442983627362E-5</v>
      </c>
      <c r="S53" s="2"/>
      <c r="T53" s="6"/>
      <c r="U53" s="2"/>
      <c r="V53" s="7">
        <f t="shared" si="41"/>
        <v>0</v>
      </c>
      <c r="W53" s="2"/>
      <c r="X53" s="6">
        <f t="shared" si="42"/>
        <v>16.54</v>
      </c>
      <c r="Y53" s="2"/>
      <c r="Z53" s="7">
        <f t="shared" si="43"/>
        <v>0</v>
      </c>
    </row>
    <row r="54" spans="1:26" s="28" customFormat="1" outlineLevel="1" collapsed="1" x14ac:dyDescent="0.25">
      <c r="A54" s="27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87.3</v>
      </c>
      <c r="E54" s="1"/>
      <c r="F54" s="5">
        <f t="shared" ref="F54:F57" si="44">IF(D$12=0,0,D54/D$12)</f>
        <v>2.4888103315562904E-3</v>
      </c>
      <c r="G54" s="1"/>
      <c r="H54" s="1">
        <f>SUM(OSRRefH22_9x_0)</f>
        <v>136.65</v>
      </c>
      <c r="I54" s="1"/>
      <c r="J54" s="5">
        <f t="shared" ref="J54:J57" si="45">IF(H$12=0,0,H54/H$12)</f>
        <v>9.0160527305476932E-4</v>
      </c>
      <c r="K54" s="1"/>
      <c r="L54" s="1">
        <f t="shared" ref="L54:L57" si="46">+D54-H54</f>
        <v>-49.350000000000009</v>
      </c>
      <c r="M54" s="1"/>
      <c r="N54" s="5">
        <f t="shared" ref="N54:N57" si="47">IF(H54=0,0,L54/H54)</f>
        <v>-0.36114160263446765</v>
      </c>
      <c r="O54" s="14"/>
      <c r="P54" s="1">
        <f>SUM(OSRRefP22_9x_0)</f>
        <v>-76</v>
      </c>
      <c r="Q54" s="1"/>
      <c r="R54" s="5">
        <f t="shared" ref="R54:R57" si="48">IF(P$12=0,0,P54/P$12)</f>
        <v>-2.6357132205294317E-4</v>
      </c>
      <c r="S54" s="1"/>
      <c r="T54" s="1">
        <f>SUM(OSRRefT22_9x_0)</f>
        <v>1178.73</v>
      </c>
      <c r="U54" s="1"/>
      <c r="V54" s="5">
        <f t="shared" ref="V54:V57" si="49">IF(T$12=0,0,T54/T$12)</f>
        <v>4.3720628326625989E-3</v>
      </c>
      <c r="W54" s="1"/>
      <c r="X54" s="1">
        <f t="shared" ref="X54:X57" si="50">+P54-T54</f>
        <v>-1254.73</v>
      </c>
      <c r="Y54" s="1"/>
      <c r="Z54" s="5">
        <f t="shared" ref="Z54:Z57" si="51">IF(T54=0,0,X54/T54)</f>
        <v>-1.0644761735087764</v>
      </c>
    </row>
    <row r="55" spans="1:26" s="24" customFormat="1" hidden="1" outlineLevel="2" x14ac:dyDescent="0.25">
      <c r="A55" s="29"/>
      <c r="B55" s="11" t="str">
        <f>CONCATENATE("          ", "6309", " - ", "TELEPHONE")</f>
        <v xml:space="preserve">          6309 - TELEPHONE</v>
      </c>
      <c r="C55" s="11"/>
      <c r="D55" s="6">
        <v>87.3</v>
      </c>
      <c r="E55" s="2"/>
      <c r="F55" s="7">
        <f t="shared" si="44"/>
        <v>2.4888103315562904E-3</v>
      </c>
      <c r="G55" s="2"/>
      <c r="H55" s="6">
        <v>136.65</v>
      </c>
      <c r="I55" s="2"/>
      <c r="J55" s="7">
        <f t="shared" si="45"/>
        <v>9.0160527305476932E-4</v>
      </c>
      <c r="K55" s="2"/>
      <c r="L55" s="6">
        <f t="shared" si="46"/>
        <v>-49.350000000000009</v>
      </c>
      <c r="M55" s="2"/>
      <c r="N55" s="7">
        <f t="shared" si="47"/>
        <v>-0.36114160263446765</v>
      </c>
      <c r="O55" s="11"/>
      <c r="P55" s="6">
        <v>-76</v>
      </c>
      <c r="Q55" s="2"/>
      <c r="R55" s="7">
        <f t="shared" si="48"/>
        <v>-2.6357132205294317E-4</v>
      </c>
      <c r="S55" s="2"/>
      <c r="T55" s="6">
        <v>1178.73</v>
      </c>
      <c r="U55" s="2"/>
      <c r="V55" s="7">
        <f t="shared" si="49"/>
        <v>4.3720628326625989E-3</v>
      </c>
      <c r="W55" s="2"/>
      <c r="X55" s="6">
        <f t="shared" si="50"/>
        <v>-1254.73</v>
      </c>
      <c r="Y55" s="2"/>
      <c r="Z55" s="7">
        <f t="shared" si="51"/>
        <v>-1.0644761735087764</v>
      </c>
    </row>
    <row r="56" spans="1:26" s="28" customFormat="1" outlineLevel="1" collapsed="1" x14ac:dyDescent="0.25">
      <c r="A56" s="27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2000</v>
      </c>
      <c r="E56" s="1"/>
      <c r="F56" s="5">
        <f t="shared" si="44"/>
        <v>5.701741882144995E-2</v>
      </c>
      <c r="G56" s="1"/>
      <c r="H56" s="1">
        <f>SUM(OSRRefH22_10x_0)</f>
        <v>0</v>
      </c>
      <c r="I56" s="1"/>
      <c r="J56" s="5">
        <f t="shared" si="45"/>
        <v>0</v>
      </c>
      <c r="K56" s="1"/>
      <c r="L56" s="1">
        <f t="shared" si="46"/>
        <v>2000</v>
      </c>
      <c r="M56" s="1"/>
      <c r="N56" s="5">
        <f t="shared" si="47"/>
        <v>0</v>
      </c>
      <c r="O56" s="14"/>
      <c r="P56" s="1">
        <f>SUM(OSRRefP22_10x_0)</f>
        <v>2000</v>
      </c>
      <c r="Q56" s="1"/>
      <c r="R56" s="5">
        <f t="shared" si="48"/>
        <v>6.9360874224458722E-3</v>
      </c>
      <c r="S56" s="1"/>
      <c r="T56" s="1">
        <f>SUM(OSRRefT22_10x_0)</f>
        <v>0</v>
      </c>
      <c r="U56" s="1"/>
      <c r="V56" s="5">
        <f t="shared" si="49"/>
        <v>0</v>
      </c>
      <c r="W56" s="1"/>
      <c r="X56" s="1">
        <f t="shared" si="50"/>
        <v>2000</v>
      </c>
      <c r="Y56" s="1"/>
      <c r="Z56" s="5">
        <f t="shared" si="51"/>
        <v>0</v>
      </c>
    </row>
    <row r="57" spans="1:26" s="24" customFormat="1" hidden="1" outlineLevel="2" x14ac:dyDescent="0.25">
      <c r="A57" s="29"/>
      <c r="B57" s="11" t="str">
        <f>CONCATENATE("          ", "6376", " - ", "TRAINING")</f>
        <v xml:space="preserve">          6376 - TRAINING</v>
      </c>
      <c r="C57" s="11"/>
      <c r="D57" s="6">
        <v>2000</v>
      </c>
      <c r="E57" s="2"/>
      <c r="F57" s="7">
        <f t="shared" si="44"/>
        <v>5.701741882144995E-2</v>
      </c>
      <c r="G57" s="2"/>
      <c r="H57" s="6"/>
      <c r="I57" s="2"/>
      <c r="J57" s="7">
        <f t="shared" si="45"/>
        <v>0</v>
      </c>
      <c r="K57" s="2"/>
      <c r="L57" s="6">
        <f t="shared" si="46"/>
        <v>2000</v>
      </c>
      <c r="M57" s="2"/>
      <c r="N57" s="7">
        <f t="shared" si="47"/>
        <v>0</v>
      </c>
      <c r="O57" s="11"/>
      <c r="P57" s="6">
        <v>2000</v>
      </c>
      <c r="Q57" s="2"/>
      <c r="R57" s="7">
        <f t="shared" si="48"/>
        <v>6.9360874224458722E-3</v>
      </c>
      <c r="S57" s="2"/>
      <c r="T57" s="6"/>
      <c r="U57" s="2"/>
      <c r="V57" s="7">
        <f t="shared" si="49"/>
        <v>0</v>
      </c>
      <c r="W57" s="2"/>
      <c r="X57" s="6">
        <f t="shared" si="50"/>
        <v>2000</v>
      </c>
      <c r="Y57" s="2"/>
      <c r="Z57" s="7">
        <f t="shared" si="51"/>
        <v>0</v>
      </c>
    </row>
    <row r="58" spans="1:26" s="56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5" t="s">
        <v>292</v>
      </c>
      <c r="C59" s="10"/>
      <c r="D59" s="4">
        <f>SUM(OSRRefD25x_0)</f>
        <v>1668.3</v>
      </c>
      <c r="E59" s="4"/>
      <c r="F59" s="12">
        <f t="shared" ref="F59:F60" si="52">IF(D$12=0,0,D59/D$12)</f>
        <v>4.7561079909912478E-2</v>
      </c>
      <c r="G59" s="4"/>
      <c r="H59" s="4">
        <f>SUM(OSRRefH25x_0)</f>
        <v>225.16</v>
      </c>
      <c r="I59" s="4"/>
      <c r="J59" s="12">
        <f t="shared" ref="J59:J60" si="53">IF(H$12=0,0,H59/H$12)</f>
        <v>1.485586851672242E-3</v>
      </c>
      <c r="K59" s="4"/>
      <c r="L59" s="4">
        <f t="shared" ref="L59:L60" si="54">+D59-H59</f>
        <v>1443.1399999999999</v>
      </c>
      <c r="M59" s="4"/>
      <c r="N59" s="12">
        <f t="shared" ref="N59:N60" si="55">IF(H59=0,0,L59/H59)</f>
        <v>6.4093977615917561</v>
      </c>
      <c r="O59" s="10"/>
      <c r="P59" s="4">
        <f>SUM(OSRRefP25x_0)</f>
        <v>4396.87</v>
      </c>
      <c r="Q59" s="4"/>
      <c r="R59" s="12">
        <f t="shared" ref="R59:R60" si="56">IF(P$12=0,0,P59/P$12)</f>
        <v>1.5248537352564791E-2</v>
      </c>
      <c r="S59" s="4"/>
      <c r="T59" s="4">
        <f>SUM(OSRRefT25x_0)</f>
        <v>975.16</v>
      </c>
      <c r="U59" s="4"/>
      <c r="V59" s="12">
        <f t="shared" ref="V59:V60" si="57">IF(T$12=0,0,T59/T$12)</f>
        <v>3.6169952337679195E-3</v>
      </c>
      <c r="W59" s="4"/>
      <c r="X59" s="4">
        <f t="shared" ref="X59:X60" si="58">+P59-T59</f>
        <v>3421.71</v>
      </c>
      <c r="Y59" s="4"/>
      <c r="Z59" s="12">
        <f t="shared" ref="Z59:Z60" si="59">IF(T59=0,0,X59/T59)</f>
        <v>3.5088703392263834</v>
      </c>
    </row>
    <row r="60" spans="1:26" s="24" customFormat="1" hidden="1" outlineLevel="1" x14ac:dyDescent="0.25">
      <c r="A60" s="44"/>
      <c r="B60" s="11" t="str">
        <f>CONCATENATE("          ", "9150", " - ", "MISC. INCOME")</f>
        <v xml:space="preserve">          9150 - MISC. INCOME</v>
      </c>
      <c r="C60" s="11"/>
      <c r="D60" s="2">
        <f>--1668.3</f>
        <v>1668.3</v>
      </c>
      <c r="E60" s="2"/>
      <c r="F60" s="19">
        <f t="shared" si="52"/>
        <v>4.7561079909912478E-2</v>
      </c>
      <c r="G60" s="2"/>
      <c r="H60" s="2">
        <f>--225.16</f>
        <v>225.16</v>
      </c>
      <c r="I60" s="2"/>
      <c r="J60" s="19">
        <f t="shared" si="53"/>
        <v>1.485586851672242E-3</v>
      </c>
      <c r="K60" s="2"/>
      <c r="L60" s="2">
        <f t="shared" si="54"/>
        <v>1443.1399999999999</v>
      </c>
      <c r="M60" s="2"/>
      <c r="N60" s="19">
        <f t="shared" si="55"/>
        <v>6.4093977615917561</v>
      </c>
      <c r="O60" s="11"/>
      <c r="P60" s="2">
        <f>--4396.87</f>
        <v>4396.87</v>
      </c>
      <c r="Q60" s="2"/>
      <c r="R60" s="19">
        <f t="shared" si="56"/>
        <v>1.5248537352564791E-2</v>
      </c>
      <c r="S60" s="2"/>
      <c r="T60" s="2">
        <f>--975.16</f>
        <v>975.16</v>
      </c>
      <c r="U60" s="2"/>
      <c r="V60" s="19">
        <f t="shared" si="57"/>
        <v>3.6169952337679195E-3</v>
      </c>
      <c r="W60" s="2"/>
      <c r="X60" s="2">
        <f t="shared" si="58"/>
        <v>3421.71</v>
      </c>
      <c r="Y60" s="2"/>
      <c r="Z60" s="19">
        <f t="shared" si="59"/>
        <v>3.5088703392263834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276</v>
      </c>
      <c r="C62" s="26"/>
      <c r="D62" s="22">
        <f>+D17-D19+D59</f>
        <v>-432.76000000000499</v>
      </c>
      <c r="E62" s="13"/>
      <c r="F62" s="20">
        <f>IF(D$12=0,0,D62/D$12)</f>
        <v>-1.2337429084585483E-2</v>
      </c>
      <c r="G62" s="13"/>
      <c r="H62" s="22">
        <f>+H17-H19+H59</f>
        <v>7039.1700000000383</v>
      </c>
      <c r="I62" s="13"/>
      <c r="J62" s="20">
        <f>IF(H$12=0,0,H62/H$12)</f>
        <v>4.6443855030581592E-2</v>
      </c>
      <c r="K62" s="15"/>
      <c r="L62" s="22">
        <f>+D62-H62</f>
        <v>-7471.930000000043</v>
      </c>
      <c r="M62" s="15"/>
      <c r="N62" s="20">
        <f>IF(H62=0,0,L62/H62)</f>
        <v>-1.0614788391244994</v>
      </c>
      <c r="O62" s="25"/>
      <c r="P62" s="22">
        <f>+P17-P19+P59</f>
        <v>66859.01999999996</v>
      </c>
      <c r="Q62" s="13"/>
      <c r="R62" s="20">
        <f>IF(P$12=0,0,P62/P$12)</f>
        <v>0.23187000384952838</v>
      </c>
      <c r="S62" s="13"/>
      <c r="T62" s="22">
        <f>+T17-T19+T59</f>
        <v>21868.179999999989</v>
      </c>
      <c r="U62" s="13"/>
      <c r="V62" s="20">
        <f>IF(T$12=0,0,T62/T$12)</f>
        <v>8.1111922998460678E-2</v>
      </c>
      <c r="W62" s="15"/>
      <c r="X62" s="22">
        <f>+P62-T62</f>
        <v>44990.839999999967</v>
      </c>
      <c r="Y62" s="15"/>
      <c r="Z62" s="20">
        <f>IF(T62=0,0,X62/T62)</f>
        <v>2.0573655420798618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127</v>
      </c>
      <c r="C64" s="10"/>
      <c r="D64" s="4">
        <v>1981.88</v>
      </c>
      <c r="E64" s="4"/>
      <c r="F64" s="12">
        <f>IF(D$12=0,0,D64/D$12)</f>
        <v>5.6500841006927621E-2</v>
      </c>
      <c r="G64" s="4"/>
      <c r="H64" s="4">
        <v>36534.379999999997</v>
      </c>
      <c r="I64" s="4"/>
      <c r="J64" s="12">
        <f>IF(H$12=0,0,H64/H$12)</f>
        <v>0.2410507841623615</v>
      </c>
      <c r="K64" s="4"/>
      <c r="L64" s="4">
        <f>+D64-H64</f>
        <v>-34552.5</v>
      </c>
      <c r="M64" s="4"/>
      <c r="N64" s="12">
        <f>IF(H64=0,0,L64/H64)</f>
        <v>-0.94575301401036505</v>
      </c>
      <c r="O64" s="10"/>
      <c r="P64" s="4">
        <v>33330.53</v>
      </c>
      <c r="Q64" s="4"/>
      <c r="R64" s="12">
        <f>IF(P$12=0,0,P64/P$12)</f>
        <v>0.11559173495822742</v>
      </c>
      <c r="S64" s="4"/>
      <c r="T64" s="4">
        <v>58402.25</v>
      </c>
      <c r="U64" s="4"/>
      <c r="V64" s="12">
        <f>IF(T$12=0,0,T64/T$12)</f>
        <v>0.21662153891804678</v>
      </c>
      <c r="W64" s="4"/>
      <c r="X64" s="4">
        <f>+P64-T64</f>
        <v>-25071.72</v>
      </c>
      <c r="Y64" s="4"/>
      <c r="Z64" s="12">
        <f>IF(T64=0,0,X64/T64)</f>
        <v>-0.42929373440235608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125</v>
      </c>
      <c r="C66" s="26"/>
      <c r="D66" s="33">
        <f>+D62-D64</f>
        <v>-2414.6400000000049</v>
      </c>
      <c r="E66" s="13"/>
      <c r="F66" s="31">
        <f>IF(D$12=0,0,D66/D$12)</f>
        <v>-6.8838270091513096E-2</v>
      </c>
      <c r="G66" s="13"/>
      <c r="H66" s="33">
        <f>+H62-H64</f>
        <v>-29495.209999999959</v>
      </c>
      <c r="I66" s="13"/>
      <c r="J66" s="31">
        <f>IF(H$12=0,0,H66/H$12)</f>
        <v>-0.1946069291317799</v>
      </c>
      <c r="K66" s="15"/>
      <c r="L66" s="33">
        <f>D66-H66</f>
        <v>27080.569999999956</v>
      </c>
      <c r="M66" s="15"/>
      <c r="N66" s="31">
        <f>IF(H66=0,0,L66/H66)</f>
        <v>-0.91813450387367956</v>
      </c>
      <c r="O66" s="25"/>
      <c r="P66" s="33">
        <f>+P62-P64</f>
        <v>33528.489999999962</v>
      </c>
      <c r="Q66" s="13"/>
      <c r="R66" s="31">
        <f>IF(P$12=0,0,P66/P$12)</f>
        <v>0.11627826889130097</v>
      </c>
      <c r="S66" s="13"/>
      <c r="T66" s="33">
        <f>+T62-T64</f>
        <v>-36534.070000000007</v>
      </c>
      <c r="U66" s="13"/>
      <c r="V66" s="31">
        <f>IF(T$12=0,0,T66/T$12)</f>
        <v>-0.13550961591958607</v>
      </c>
      <c r="W66" s="15"/>
      <c r="X66" s="33">
        <f>P66-T66</f>
        <v>70062.559999999969</v>
      </c>
      <c r="Y66" s="15"/>
      <c r="Z66" s="31">
        <f>IF(T66=0,0,X66/T66)</f>
        <v>-1.9177321333210331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293</v>
      </c>
      <c r="C69" s="26"/>
      <c r="D69" s="34">
        <f>SUM(D66:D68)</f>
        <v>-2414.6400000000049</v>
      </c>
      <c r="E69" s="13"/>
      <c r="F69" s="30">
        <f>IF(D$12=0,0,D69/D$12)</f>
        <v>-6.8838270091513096E-2</v>
      </c>
      <c r="G69" s="13"/>
      <c r="H69" s="34">
        <f>SUM(H66:H68)</f>
        <v>-29495.209999999959</v>
      </c>
      <c r="I69" s="13"/>
      <c r="J69" s="30">
        <f>IF(H$12=0,0,H69/H$12)</f>
        <v>-0.1946069291317799</v>
      </c>
      <c r="K69" s="15"/>
      <c r="L69" s="34">
        <f>+D69-H69</f>
        <v>27080.569999999956</v>
      </c>
      <c r="M69" s="15"/>
      <c r="N69" s="30">
        <f>IF(H69=0,0,L69/H69)</f>
        <v>-0.91813450387367956</v>
      </c>
      <c r="O69" s="25"/>
      <c r="P69" s="34">
        <f>SUM(P66:P68)</f>
        <v>33528.489999999962</v>
      </c>
      <c r="Q69" s="13"/>
      <c r="R69" s="30">
        <f>IF(P$12=0,0,P69/P$12)</f>
        <v>0.11627826889130097</v>
      </c>
      <c r="S69" s="13"/>
      <c r="T69" s="34">
        <f>SUM(T66:T68)</f>
        <v>-36534.070000000007</v>
      </c>
      <c r="U69" s="13"/>
      <c r="V69" s="30">
        <f>IF(T$12=0,0,T69/T$12)</f>
        <v>-0.13550961591958607</v>
      </c>
      <c r="W69" s="15"/>
      <c r="X69" s="34">
        <f>+P69-T69</f>
        <v>70062.559999999969</v>
      </c>
      <c r="Y69" s="15"/>
      <c r="Z69" s="30">
        <f>IF(T69=0,0,X69/T69)</f>
        <v>-1.9177321333210331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61">
        <v>44517.967041516204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7" t="s">
        <v>56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2" t="s">
        <v>23</v>
      </c>
    </row>
    <row r="3" spans="1:26" x14ac:dyDescent="0.25">
      <c r="D3" s="52" t="s">
        <v>236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9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9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9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4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6" t="s">
        <v>291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3"/>
      <c r="C10" s="10"/>
      <c r="D10" s="43" t="s">
        <v>57</v>
      </c>
      <c r="E10" s="35"/>
      <c r="F10" s="32" t="s">
        <v>40</v>
      </c>
      <c r="G10" s="35"/>
      <c r="H10" s="46" t="s">
        <v>237</v>
      </c>
      <c r="I10" s="35"/>
      <c r="J10" s="32" t="s">
        <v>40</v>
      </c>
      <c r="K10" s="10"/>
      <c r="L10" s="43" t="s">
        <v>126</v>
      </c>
      <c r="M10" s="10"/>
      <c r="N10" s="32" t="s">
        <v>257</v>
      </c>
      <c r="O10" s="10"/>
      <c r="P10" s="60" t="s">
        <v>57</v>
      </c>
      <c r="Q10" s="35"/>
      <c r="R10" s="32" t="s">
        <v>40</v>
      </c>
      <c r="S10" s="35"/>
      <c r="T10" s="46" t="s">
        <v>237</v>
      </c>
      <c r="U10" s="35"/>
      <c r="V10" s="32" t="s">
        <v>40</v>
      </c>
      <c r="W10" s="10"/>
      <c r="X10" s="43" t="s">
        <v>126</v>
      </c>
      <c r="Y10" s="10"/>
      <c r="Z10" s="32" t="s">
        <v>257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107</v>
      </c>
      <c r="C18" s="26"/>
      <c r="D18" s="22" t="e">
        <f ca="1">D12-D15</f>
        <v>#NAME?</v>
      </c>
      <c r="E18" s="13"/>
      <c r="F18" s="20" t="e">
        <f ca="1">IF(D$12=0,0,D18/D$12)</f>
        <v>#NAME?</v>
      </c>
      <c r="G18" s="13"/>
      <c r="H18" s="22" t="e">
        <f ca="1">H12-H15</f>
        <v>#NAME?</v>
      </c>
      <c r="I18" s="13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5"/>
      <c r="P18" s="22" t="e">
        <f ca="1">P12-P15</f>
        <v>#NAME?</v>
      </c>
      <c r="Q18" s="13"/>
      <c r="R18" s="20" t="e">
        <f ca="1">IF(P$12=0,0,P18/P$12)</f>
        <v>#NAME?</v>
      </c>
      <c r="S18" s="13"/>
      <c r="T18" s="22" t="e">
        <f ca="1">T12-T15</f>
        <v>#NAME?</v>
      </c>
      <c r="U18" s="13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294</v>
      </c>
      <c r="C20" s="10"/>
      <c r="D20" s="21" t="e">
        <f ca="1">SUM(_xll.OneStop.ReportPlayer.OSRFunctions.OSRRef(D22))</f>
        <v>#NAME?</v>
      </c>
      <c r="E20" s="21"/>
      <c r="F20" s="36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6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6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6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276</v>
      </c>
      <c r="C27" s="26"/>
      <c r="D27" s="22" t="e">
        <f ca="1">+D18-D20+D24</f>
        <v>#NAME?</v>
      </c>
      <c r="E27" s="13"/>
      <c r="F27" s="20" t="e">
        <f ca="1">IF(D$12=0,0,D27/D$12)</f>
        <v>#NAME?</v>
      </c>
      <c r="G27" s="13"/>
      <c r="H27" s="22" t="e">
        <f ca="1">+H18-H20+H24</f>
        <v>#NAME?</v>
      </c>
      <c r="I27" s="13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5"/>
      <c r="P27" s="22" t="e">
        <f ca="1">+P18-P20+P24</f>
        <v>#NAME?</v>
      </c>
      <c r="Q27" s="13"/>
      <c r="R27" s="20" t="e">
        <f ca="1">IF(P$12=0,0,P27/P$12)</f>
        <v>#NAME?</v>
      </c>
      <c r="S27" s="13"/>
      <c r="T27" s="22" t="e">
        <f ca="1">+T18-T20+T24</f>
        <v>#NAME?</v>
      </c>
      <c r="U27" s="13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125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5"/>
      <c r="L31" s="33" t="e">
        <f ca="1">D31-H31</f>
        <v>#NAME?</v>
      </c>
      <c r="M31" s="15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5"/>
      <c r="X31" s="33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293</v>
      </c>
      <c r="C36" s="26"/>
      <c r="D36" s="34" t="e">
        <f ca="1">SUM(D31:D35)</f>
        <v>#NAME?</v>
      </c>
      <c r="E36" s="13"/>
      <c r="F36" s="30" t="e">
        <f ca="1">IF(D$12=0,0,D36/D$12)</f>
        <v>#NAME?</v>
      </c>
      <c r="G36" s="13"/>
      <c r="H36" s="34" t="e">
        <f ca="1">SUM(H31:H35)</f>
        <v>#NAME?</v>
      </c>
      <c r="I36" s="13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5"/>
      <c r="P36" s="34" t="e">
        <f ca="1">SUM(P31:P35)</f>
        <v>#NAME?</v>
      </c>
      <c r="Q36" s="13"/>
      <c r="R36" s="30" t="e">
        <f ca="1">IF(P$12=0,0,P36/P$12)</f>
        <v>#NAME?</v>
      </c>
      <c r="S36" s="13"/>
      <c r="T36" s="34" t="e">
        <f ca="1">SUM(T31:T35)</f>
        <v>#NAME?</v>
      </c>
      <c r="U36" s="13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3498</vt:i4>
      </vt:variant>
    </vt:vector>
  </HeadingPairs>
  <TitlesOfParts>
    <vt:vector size="359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'326'!OSRRefD22_15x_0</vt:lpstr>
      <vt:lpstr>'331'!OSRRefD22_15x_0</vt:lpstr>
      <vt:lpstr>'405'!OSRRefD22_15x_0</vt:lpstr>
      <vt:lpstr>'415'!OSRRefD22_15x_0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'326'!OSRRefD22_16x_0</vt:lpstr>
      <vt:lpstr>'331'!OSRRefD22_16x_0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'413'!OSRRefD22_5x_0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'326'!OSRRefH22_15x_0</vt:lpstr>
      <vt:lpstr>'331'!OSRRefH22_15x_0</vt:lpstr>
      <vt:lpstr>'405'!OSRRefH22_15x_0</vt:lpstr>
      <vt:lpstr>'415'!OSRRefH22_15x_0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'326'!OSRRefH22_16x_0</vt:lpstr>
      <vt:lpstr>'331'!OSRRefH22_16x_0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'413'!OSRRefH22_5x_0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'326'!OSRRefP22_15x_0</vt:lpstr>
      <vt:lpstr>'331'!OSRRefP22_15x_0</vt:lpstr>
      <vt:lpstr>'405'!OSRRefP22_15x_0</vt:lpstr>
      <vt:lpstr>'415'!OSRRefP22_15x_0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'326'!OSRRefP22_16x_0</vt:lpstr>
      <vt:lpstr>'331'!OSRRefP22_16x_0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'413'!OSRRefP22_5x_0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'326'!OSRRefT22_15x_0</vt:lpstr>
      <vt:lpstr>'331'!OSRRefT22_15x_0</vt:lpstr>
      <vt:lpstr>'405'!OSRRefT22_15x_0</vt:lpstr>
      <vt:lpstr>'415'!OSRRefT22_15x_0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'326'!OSRRefT22_16x_0</vt:lpstr>
      <vt:lpstr>'331'!OSRRefT22_16x_0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'413'!OSRRefT22_5x_0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2021-11-17T23:17:44Z</dcterms:created>
  <dcterms:modified xsi:type="dcterms:W3CDTF">2021-11-17T23:17:44Z</dcterms:modified>
</cp:coreProperties>
</file>